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tnesbit/Dropbox/Forms&amp;Templates/Math/Hospitality/"/>
    </mc:Choice>
  </mc:AlternateContent>
  <xr:revisionPtr revIDLastSave="0" documentId="8_{8EF8E971-79C7-DD48-9223-8D499AE93816}" xr6:coauthVersionLast="47" xr6:coauthVersionMax="47" xr10:uidLastSave="{00000000-0000-0000-0000-000000000000}"/>
  <bookViews>
    <workbookView xWindow="0" yWindow="500" windowWidth="21000" windowHeight="16280" activeTab="1" xr2:uid="{00000000-000D-0000-FFFF-FFFF00000000}"/>
  </bookViews>
  <sheets>
    <sheet name="ProjectionHub" sheetId="21" r:id="rId1"/>
    <sheet name="DATA" sheetId="1" r:id="rId2"/>
    <sheet name="RevenueModule" sheetId="20" r:id="rId3"/>
    <sheet name="LoanModule" sheetId="2" r:id="rId4"/>
    <sheet name="SalaryModule" sheetId="3" r:id="rId5"/>
    <sheet name="StartupCosts" sheetId="4" r:id="rId6"/>
    <sheet name="IncomeStatement_Year1" sheetId="5" r:id="rId7"/>
    <sheet name="IncomeStatement_Year2" sheetId="6" r:id="rId8"/>
    <sheet name="IncomeStatement_Year3" sheetId="7" r:id="rId9"/>
    <sheet name="CashFlowStatement_Year1" sheetId="8" r:id="rId10"/>
    <sheet name="CashFlowStatement_Year2" sheetId="9" r:id="rId11"/>
    <sheet name="CashFlowStatement_Year3" sheetId="10" r:id="rId12"/>
    <sheet name="BalanceSheet_Year1" sheetId="11" r:id="rId13"/>
    <sheet name="BalanceSheet_Year2" sheetId="12" r:id="rId14"/>
    <sheet name="BalanceSheet_Year3" sheetId="13" r:id="rId15"/>
    <sheet name="AnnualSummary" sheetId="15" r:id="rId16"/>
    <sheet name="Dashboard Example" sheetId="19" r:id="rId17"/>
    <sheet name="Graphs for Dashboard" sheetId="16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1" l="1"/>
  <c r="B31" i="1" l="1"/>
  <c r="C29" i="1"/>
  <c r="B29" i="1"/>
  <c r="B34" i="1" s="1"/>
  <c r="B8" i="20"/>
  <c r="D6" i="20"/>
  <c r="D31" i="1" s="1"/>
  <c r="E6" i="20"/>
  <c r="E31" i="1" s="1"/>
  <c r="F6" i="20"/>
  <c r="G6" i="20" s="1"/>
  <c r="C6" i="20"/>
  <c r="C31" i="1" s="1"/>
  <c r="C3" i="20"/>
  <c r="C8" i="20" s="1"/>
  <c r="H6" i="20" l="1"/>
  <c r="G31" i="1"/>
  <c r="F31" i="1"/>
  <c r="D3" i="20"/>
  <c r="C34" i="1"/>
  <c r="C37" i="1"/>
  <c r="B37" i="1"/>
  <c r="E3" i="20" l="1"/>
  <c r="D8" i="20"/>
  <c r="D29" i="1"/>
  <c r="I6" i="20"/>
  <c r="H31" i="1"/>
  <c r="A28" i="15"/>
  <c r="A28" i="13"/>
  <c r="A1" i="13"/>
  <c r="A28" i="12"/>
  <c r="A1" i="12"/>
  <c r="C36" i="11"/>
  <c r="D36" i="11" s="1"/>
  <c r="B34" i="11"/>
  <c r="C34" i="11" s="1"/>
  <c r="D34" i="11" s="1"/>
  <c r="E34" i="11" s="1"/>
  <c r="F34" i="11" s="1"/>
  <c r="G34" i="11" s="1"/>
  <c r="H34" i="11" s="1"/>
  <c r="I34" i="11" s="1"/>
  <c r="J34" i="11" s="1"/>
  <c r="K34" i="11" s="1"/>
  <c r="L34" i="11" s="1"/>
  <c r="M34" i="11" s="1"/>
  <c r="N34" i="11" s="1"/>
  <c r="B34" i="12" s="1"/>
  <c r="C34" i="12" s="1"/>
  <c r="D34" i="12" s="1"/>
  <c r="E34" i="12" s="1"/>
  <c r="F34" i="12" s="1"/>
  <c r="G34" i="12" s="1"/>
  <c r="H34" i="12" s="1"/>
  <c r="I34" i="12" s="1"/>
  <c r="J34" i="12" s="1"/>
  <c r="K34" i="12" s="1"/>
  <c r="L34" i="12" s="1"/>
  <c r="M34" i="12" s="1"/>
  <c r="B34" i="13" s="1"/>
  <c r="C34" i="13" s="1"/>
  <c r="D34" i="13" s="1"/>
  <c r="E34" i="13" s="1"/>
  <c r="F34" i="13" s="1"/>
  <c r="G34" i="13" s="1"/>
  <c r="H34" i="13" s="1"/>
  <c r="I34" i="13" s="1"/>
  <c r="J34" i="13" s="1"/>
  <c r="K34" i="13" s="1"/>
  <c r="L34" i="13" s="1"/>
  <c r="M34" i="13" s="1"/>
  <c r="A28" i="11"/>
  <c r="B24" i="11"/>
  <c r="B25" i="11" s="1"/>
  <c r="B17" i="11"/>
  <c r="B16" i="11"/>
  <c r="C16" i="11" s="1"/>
  <c r="D16" i="11" s="1"/>
  <c r="E16" i="11" s="1"/>
  <c r="F16" i="11" s="1"/>
  <c r="G16" i="11" s="1"/>
  <c r="H16" i="11" s="1"/>
  <c r="I16" i="11" s="1"/>
  <c r="J16" i="11" s="1"/>
  <c r="K16" i="11" s="1"/>
  <c r="L16" i="11" s="1"/>
  <c r="M16" i="11" s="1"/>
  <c r="N16" i="11" s="1"/>
  <c r="B16" i="12" s="1"/>
  <c r="C16" i="12" s="1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B16" i="13" s="1"/>
  <c r="C16" i="13" s="1"/>
  <c r="D16" i="13" s="1"/>
  <c r="E16" i="13" s="1"/>
  <c r="F16" i="13" s="1"/>
  <c r="G16" i="13" s="1"/>
  <c r="H16" i="13" s="1"/>
  <c r="I16" i="13" s="1"/>
  <c r="J16" i="13" s="1"/>
  <c r="K16" i="13" s="1"/>
  <c r="L16" i="13" s="1"/>
  <c r="M16" i="13" s="1"/>
  <c r="B15" i="11"/>
  <c r="B11" i="11"/>
  <c r="B10" i="11"/>
  <c r="A1" i="11"/>
  <c r="M36" i="10"/>
  <c r="L36" i="10"/>
  <c r="K36" i="10"/>
  <c r="J36" i="10"/>
  <c r="I36" i="10"/>
  <c r="H36" i="10"/>
  <c r="G36" i="10"/>
  <c r="F36" i="10"/>
  <c r="E36" i="10"/>
  <c r="D36" i="10"/>
  <c r="C36" i="10"/>
  <c r="B36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" i="10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7" i="9"/>
  <c r="L17" i="9"/>
  <c r="K17" i="9"/>
  <c r="J17" i="9"/>
  <c r="I17" i="9"/>
  <c r="H17" i="9"/>
  <c r="G17" i="9"/>
  <c r="F17" i="9"/>
  <c r="E17" i="9"/>
  <c r="D17" i="9"/>
  <c r="C17" i="9"/>
  <c r="B17" i="9"/>
  <c r="M11" i="9"/>
  <c r="L11" i="9"/>
  <c r="K11" i="9"/>
  <c r="J11" i="9"/>
  <c r="I11" i="9"/>
  <c r="H11" i="9"/>
  <c r="G11" i="9"/>
  <c r="F11" i="9"/>
  <c r="E11" i="9"/>
  <c r="D11" i="9"/>
  <c r="C11" i="9"/>
  <c r="B11" i="9"/>
  <c r="A1" i="9"/>
  <c r="N36" i="8"/>
  <c r="M36" i="8"/>
  <c r="L36" i="8"/>
  <c r="K36" i="8"/>
  <c r="J36" i="8"/>
  <c r="I36" i="8"/>
  <c r="H36" i="8"/>
  <c r="G36" i="8"/>
  <c r="F36" i="8"/>
  <c r="E36" i="8"/>
  <c r="D36" i="8"/>
  <c r="C36" i="8"/>
  <c r="N35" i="8"/>
  <c r="M35" i="8"/>
  <c r="L35" i="8"/>
  <c r="K35" i="8"/>
  <c r="J35" i="8"/>
  <c r="I35" i="8"/>
  <c r="H35" i="8"/>
  <c r="G35" i="8"/>
  <c r="F35" i="8"/>
  <c r="E35" i="8"/>
  <c r="D35" i="8"/>
  <c r="C35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M29" i="8"/>
  <c r="L29" i="8"/>
  <c r="K29" i="8"/>
  <c r="J29" i="8"/>
  <c r="I29" i="8"/>
  <c r="H29" i="8"/>
  <c r="G29" i="8"/>
  <c r="F29" i="8"/>
  <c r="E29" i="8"/>
  <c r="D29" i="8"/>
  <c r="C29" i="8"/>
  <c r="N28" i="8"/>
  <c r="M28" i="8"/>
  <c r="L28" i="8"/>
  <c r="K28" i="8"/>
  <c r="J28" i="8"/>
  <c r="I28" i="8"/>
  <c r="H28" i="8"/>
  <c r="G28" i="8"/>
  <c r="F28" i="8"/>
  <c r="E28" i="8"/>
  <c r="D28" i="8"/>
  <c r="C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B12" i="8" s="1"/>
  <c r="B7" i="8"/>
  <c r="A1" i="8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A24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19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7" i="7"/>
  <c r="A1" i="7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A24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A19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A7" i="6"/>
  <c r="A1" i="6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27" i="15" s="1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26" i="15" s="1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25" i="15" s="1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24" i="15" s="1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23" i="15" s="1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22" i="15" s="1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21" i="15" s="1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20" i="15" s="1"/>
  <c r="A24" i="5"/>
  <c r="A19" i="15" s="1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18" i="15" s="1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17" i="15" s="1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16" i="15" s="1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15" i="15" s="1"/>
  <c r="B19" i="5"/>
  <c r="A19" i="5"/>
  <c r="A14" i="15" s="1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13" i="15" s="1"/>
  <c r="B7" i="5"/>
  <c r="B8" i="5" s="1"/>
  <c r="A7" i="5"/>
  <c r="A3" i="15" s="1"/>
  <c r="A1" i="5"/>
  <c r="B23" i="4"/>
  <c r="B21" i="4"/>
  <c r="B13" i="4"/>
  <c r="B35" i="11"/>
  <c r="D4" i="4"/>
  <c r="C4" i="4"/>
  <c r="B4" i="4"/>
  <c r="B20" i="4" s="1"/>
  <c r="A4" i="4"/>
  <c r="D3" i="4"/>
  <c r="C3" i="4"/>
  <c r="B3" i="4"/>
  <c r="B36" i="8" s="1"/>
  <c r="A3" i="4"/>
  <c r="B2" i="4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K7" i="3"/>
  <c r="AK10" i="3" s="1"/>
  <c r="AJ7" i="3"/>
  <c r="AI7" i="3"/>
  <c r="AH7" i="3"/>
  <c r="AG7" i="3"/>
  <c r="AF7" i="3"/>
  <c r="AE7" i="3"/>
  <c r="AD7" i="3"/>
  <c r="AC7" i="3"/>
  <c r="AC10" i="3" s="1"/>
  <c r="AB7" i="3"/>
  <c r="AA7" i="3"/>
  <c r="Z7" i="3"/>
  <c r="Y7" i="3"/>
  <c r="Y10" i="3" s="1"/>
  <c r="X7" i="3"/>
  <c r="W7" i="3"/>
  <c r="V7" i="3"/>
  <c r="U7" i="3"/>
  <c r="U10" i="3" s="1"/>
  <c r="T7" i="3"/>
  <c r="S7" i="3"/>
  <c r="R7" i="3"/>
  <c r="Q7" i="3"/>
  <c r="Q10" i="3" s="1"/>
  <c r="P7" i="3"/>
  <c r="O7" i="3"/>
  <c r="N7" i="3"/>
  <c r="M7" i="3"/>
  <c r="M10" i="3" s="1"/>
  <c r="L7" i="3"/>
  <c r="K7" i="3"/>
  <c r="J7" i="3"/>
  <c r="I7" i="3"/>
  <c r="I10" i="3" s="1"/>
  <c r="H7" i="3"/>
  <c r="G7" i="3"/>
  <c r="F7" i="3"/>
  <c r="E7" i="3"/>
  <c r="E10" i="3" s="1"/>
  <c r="D7" i="3"/>
  <c r="C7" i="3"/>
  <c r="B7" i="3"/>
  <c r="A7" i="3"/>
  <c r="B9" i="2"/>
  <c r="B10" i="2" s="1"/>
  <c r="B71" i="1"/>
  <c r="B72" i="1" s="1"/>
  <c r="C10" i="8" s="1"/>
  <c r="A71" i="1"/>
  <c r="AK70" i="1"/>
  <c r="M36" i="7" s="1"/>
  <c r="AJ70" i="1"/>
  <c r="L36" i="7" s="1"/>
  <c r="AI70" i="1"/>
  <c r="K36" i="7" s="1"/>
  <c r="AH70" i="1"/>
  <c r="J36" i="7" s="1"/>
  <c r="AG70" i="1"/>
  <c r="I36" i="7" s="1"/>
  <c r="AF70" i="1"/>
  <c r="H36" i="7" s="1"/>
  <c r="AE70" i="1"/>
  <c r="G36" i="7" s="1"/>
  <c r="AD70" i="1"/>
  <c r="F36" i="7" s="1"/>
  <c r="AC70" i="1"/>
  <c r="E36" i="7" s="1"/>
  <c r="AB70" i="1"/>
  <c r="D36" i="7" s="1"/>
  <c r="AA70" i="1"/>
  <c r="C36" i="7" s="1"/>
  <c r="Z70" i="1"/>
  <c r="B36" i="7" s="1"/>
  <c r="Y70" i="1"/>
  <c r="M36" i="6" s="1"/>
  <c r="X70" i="1"/>
  <c r="L36" i="6" s="1"/>
  <c r="W70" i="1"/>
  <c r="K36" i="6" s="1"/>
  <c r="V70" i="1"/>
  <c r="J36" i="6" s="1"/>
  <c r="U70" i="1"/>
  <c r="I36" i="6" s="1"/>
  <c r="T70" i="1"/>
  <c r="H36" i="6" s="1"/>
  <c r="S70" i="1"/>
  <c r="G36" i="6" s="1"/>
  <c r="R70" i="1"/>
  <c r="F36" i="6" s="1"/>
  <c r="Q70" i="1"/>
  <c r="E36" i="6" s="1"/>
  <c r="P70" i="1"/>
  <c r="D36" i="6" s="1"/>
  <c r="O70" i="1"/>
  <c r="C36" i="6" s="1"/>
  <c r="N70" i="1"/>
  <c r="B36" i="6" s="1"/>
  <c r="M70" i="1"/>
  <c r="M36" i="5" s="1"/>
  <c r="L70" i="1"/>
  <c r="L36" i="5" s="1"/>
  <c r="K70" i="1"/>
  <c r="K36" i="5" s="1"/>
  <c r="J70" i="1"/>
  <c r="J36" i="5" s="1"/>
  <c r="I70" i="1"/>
  <c r="I36" i="5" s="1"/>
  <c r="H70" i="1"/>
  <c r="H36" i="5" s="1"/>
  <c r="G70" i="1"/>
  <c r="G36" i="5" s="1"/>
  <c r="F70" i="1"/>
  <c r="F36" i="5" s="1"/>
  <c r="E70" i="1"/>
  <c r="E36" i="5" s="1"/>
  <c r="D70" i="1"/>
  <c r="D36" i="5" s="1"/>
  <c r="C70" i="1"/>
  <c r="C36" i="5" s="1"/>
  <c r="B70" i="1"/>
  <c r="B36" i="5" s="1"/>
  <c r="B68" i="1"/>
  <c r="B67" i="1"/>
  <c r="C66" i="1"/>
  <c r="C51" i="1" s="1"/>
  <c r="C24" i="5" s="1"/>
  <c r="B66" i="1"/>
  <c r="B51" i="1" s="1"/>
  <c r="C23" i="8" s="1"/>
  <c r="C45" i="1"/>
  <c r="C7" i="5"/>
  <c r="C8" i="5" s="1"/>
  <c r="B12" i="1"/>
  <c r="B11" i="1"/>
  <c r="B13" i="1" s="1"/>
  <c r="N11" i="9" l="1"/>
  <c r="N11" i="10"/>
  <c r="J6" i="20"/>
  <c r="I31" i="1"/>
  <c r="D37" i="1"/>
  <c r="D34" i="1"/>
  <c r="AG10" i="3"/>
  <c r="F3" i="20"/>
  <c r="E8" i="20"/>
  <c r="E29" i="1"/>
  <c r="B69" i="1"/>
  <c r="B24" i="5"/>
  <c r="C68" i="1"/>
  <c r="C11" i="5" s="1"/>
  <c r="C67" i="1"/>
  <c r="D15" i="8" s="1"/>
  <c r="D23" i="8"/>
  <c r="B18" i="11"/>
  <c r="C10" i="3"/>
  <c r="D32" i="8" s="1"/>
  <c r="G10" i="3"/>
  <c r="H32" i="8" s="1"/>
  <c r="K10" i="3"/>
  <c r="K33" i="5" s="1"/>
  <c r="O10" i="3"/>
  <c r="C32" i="9" s="1"/>
  <c r="S10" i="3"/>
  <c r="G32" i="9" s="1"/>
  <c r="W10" i="3"/>
  <c r="K32" i="9" s="1"/>
  <c r="AA10" i="3"/>
  <c r="C33" i="7" s="1"/>
  <c r="AE10" i="3"/>
  <c r="G32" i="10" s="1"/>
  <c r="AI10" i="3"/>
  <c r="K33" i="7" s="1"/>
  <c r="B10" i="3"/>
  <c r="B33" i="5" s="1"/>
  <c r="F10" i="3"/>
  <c r="G32" i="8" s="1"/>
  <c r="J10" i="3"/>
  <c r="K32" i="8" s="1"/>
  <c r="N10" i="3"/>
  <c r="B32" i="9" s="1"/>
  <c r="R10" i="3"/>
  <c r="F32" i="9" s="1"/>
  <c r="V10" i="3"/>
  <c r="J32" i="9" s="1"/>
  <c r="Z10" i="3"/>
  <c r="B32" i="10" s="1"/>
  <c r="AD10" i="3"/>
  <c r="F32" i="10" s="1"/>
  <c r="AH10" i="3"/>
  <c r="J32" i="10" s="1"/>
  <c r="AJ10" i="3"/>
  <c r="L32" i="10" s="1"/>
  <c r="C9" i="2"/>
  <c r="N28" i="5"/>
  <c r="B23" i="15" s="1"/>
  <c r="N31" i="6"/>
  <c r="C26" i="15" s="1"/>
  <c r="N30" i="7"/>
  <c r="D25" i="15" s="1"/>
  <c r="N17" i="10"/>
  <c r="N19" i="10"/>
  <c r="N21" i="10"/>
  <c r="N25" i="10"/>
  <c r="N26" i="10"/>
  <c r="N27" i="10"/>
  <c r="N31" i="10"/>
  <c r="C15" i="11"/>
  <c r="D15" i="11" s="1"/>
  <c r="N20" i="5"/>
  <c r="B15" i="15" s="1"/>
  <c r="N32" i="5"/>
  <c r="B27" i="15" s="1"/>
  <c r="N22" i="7"/>
  <c r="D17" i="15" s="1"/>
  <c r="N26" i="7"/>
  <c r="D21" i="15" s="1"/>
  <c r="N20" i="10"/>
  <c r="N28" i="10"/>
  <c r="N29" i="10"/>
  <c r="E3" i="4"/>
  <c r="B19" i="4"/>
  <c r="N21" i="5"/>
  <c r="B16" i="15" s="1"/>
  <c r="N25" i="5"/>
  <c r="B20" i="15" s="1"/>
  <c r="N29" i="5"/>
  <c r="B24" i="15" s="1"/>
  <c r="N23" i="7"/>
  <c r="D18" i="15" s="1"/>
  <c r="N27" i="7"/>
  <c r="D22" i="15" s="1"/>
  <c r="N31" i="7"/>
  <c r="D26" i="15" s="1"/>
  <c r="N22" i="5"/>
  <c r="B17" i="15" s="1"/>
  <c r="N26" i="5"/>
  <c r="B21" i="15" s="1"/>
  <c r="N30" i="5"/>
  <c r="B25" i="15" s="1"/>
  <c r="N21" i="6"/>
  <c r="C16" i="15" s="1"/>
  <c r="N25" i="6"/>
  <c r="C20" i="15" s="1"/>
  <c r="N29" i="6"/>
  <c r="C24" i="15" s="1"/>
  <c r="O24" i="8"/>
  <c r="O27" i="8"/>
  <c r="O28" i="8"/>
  <c r="O29" i="8"/>
  <c r="O30" i="8"/>
  <c r="O31" i="8"/>
  <c r="O35" i="8"/>
  <c r="B18" i="4"/>
  <c r="N23" i="5"/>
  <c r="B18" i="15" s="1"/>
  <c r="N27" i="5"/>
  <c r="B22" i="15" s="1"/>
  <c r="N31" i="5"/>
  <c r="B26" i="15" s="1"/>
  <c r="N30" i="6"/>
  <c r="C25" i="15" s="1"/>
  <c r="N17" i="9"/>
  <c r="N21" i="9"/>
  <c r="N25" i="9"/>
  <c r="N26" i="9"/>
  <c r="N27" i="9"/>
  <c r="N28" i="9"/>
  <c r="N29" i="9"/>
  <c r="N35" i="9"/>
  <c r="N36" i="9"/>
  <c r="E4" i="4"/>
  <c r="C19" i="5"/>
  <c r="D18" i="8"/>
  <c r="C17" i="11"/>
  <c r="N36" i="5"/>
  <c r="N36" i="7"/>
  <c r="C35" i="5"/>
  <c r="C32" i="8"/>
  <c r="D45" i="1"/>
  <c r="C12" i="8"/>
  <c r="C71" i="1"/>
  <c r="C72" i="1" s="1"/>
  <c r="D10" i="8" s="1"/>
  <c r="D12" i="8" s="1"/>
  <c r="B11" i="2"/>
  <c r="C10" i="2"/>
  <c r="D10" i="3"/>
  <c r="H10" i="3"/>
  <c r="L10" i="3"/>
  <c r="P10" i="3"/>
  <c r="T10" i="3"/>
  <c r="X10" i="3"/>
  <c r="AB10" i="3"/>
  <c r="AF10" i="3"/>
  <c r="C37" i="8"/>
  <c r="B35" i="5"/>
  <c r="D37" i="8"/>
  <c r="C15" i="8"/>
  <c r="B10" i="5"/>
  <c r="D16" i="8"/>
  <c r="C16" i="8"/>
  <c r="B11" i="5"/>
  <c r="F32" i="8"/>
  <c r="E33" i="5"/>
  <c r="J32" i="8"/>
  <c r="I33" i="5"/>
  <c r="N32" i="8"/>
  <c r="M33" i="5"/>
  <c r="E32" i="9"/>
  <c r="E33" i="6"/>
  <c r="I32" i="9"/>
  <c r="I33" i="6"/>
  <c r="M32" i="9"/>
  <c r="M33" i="6"/>
  <c r="E32" i="10"/>
  <c r="E33" i="7"/>
  <c r="I32" i="10"/>
  <c r="I33" i="7"/>
  <c r="M32" i="10"/>
  <c r="M33" i="7"/>
  <c r="C10" i="11"/>
  <c r="F9" i="2"/>
  <c r="N18" i="7"/>
  <c r="D13" i="15" s="1"/>
  <c r="B40" i="8"/>
  <c r="B42" i="8" s="1"/>
  <c r="O36" i="8"/>
  <c r="B17" i="4"/>
  <c r="N18" i="5"/>
  <c r="B13" i="15" s="1"/>
  <c r="N22" i="6"/>
  <c r="C17" i="15" s="1"/>
  <c r="N20" i="7"/>
  <c r="D15" i="15" s="1"/>
  <c r="N28" i="7"/>
  <c r="D23" i="15" s="1"/>
  <c r="N32" i="7"/>
  <c r="D27" i="15" s="1"/>
  <c r="O19" i="8"/>
  <c r="O22" i="8"/>
  <c r="B8" i="4"/>
  <c r="N23" i="6"/>
  <c r="C18" i="15" s="1"/>
  <c r="N26" i="6"/>
  <c r="C21" i="15" s="1"/>
  <c r="N21" i="7"/>
  <c r="D16" i="15" s="1"/>
  <c r="N25" i="7"/>
  <c r="D20" i="15" s="1"/>
  <c r="N29" i="7"/>
  <c r="D24" i="15" s="1"/>
  <c r="N36" i="6"/>
  <c r="B9" i="11"/>
  <c r="B12" i="11" s="1"/>
  <c r="C7" i="8"/>
  <c r="C35" i="11"/>
  <c r="D35" i="11" s="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B35" i="12" s="1"/>
  <c r="C35" i="12" s="1"/>
  <c r="D35" i="12" s="1"/>
  <c r="E35" i="12" s="1"/>
  <c r="F35" i="12" s="1"/>
  <c r="G35" i="12" s="1"/>
  <c r="H35" i="12" s="1"/>
  <c r="I35" i="12" s="1"/>
  <c r="J35" i="12" s="1"/>
  <c r="K35" i="12" s="1"/>
  <c r="L35" i="12" s="1"/>
  <c r="M35" i="12" s="1"/>
  <c r="B35" i="13" s="1"/>
  <c r="C35" i="13" s="1"/>
  <c r="D35" i="13" s="1"/>
  <c r="E35" i="13" s="1"/>
  <c r="F35" i="13" s="1"/>
  <c r="G35" i="13" s="1"/>
  <c r="H35" i="13" s="1"/>
  <c r="I35" i="13" s="1"/>
  <c r="J35" i="13" s="1"/>
  <c r="K35" i="13" s="1"/>
  <c r="L35" i="13" s="1"/>
  <c r="M35" i="13" s="1"/>
  <c r="N27" i="6"/>
  <c r="C22" i="15" s="1"/>
  <c r="N18" i="6"/>
  <c r="C13" i="15" s="1"/>
  <c r="N20" i="6"/>
  <c r="C15" i="15" s="1"/>
  <c r="N28" i="6"/>
  <c r="C23" i="15" s="1"/>
  <c r="O17" i="8"/>
  <c r="O26" i="8"/>
  <c r="N19" i="9"/>
  <c r="N20" i="9"/>
  <c r="N30" i="9"/>
  <c r="N31" i="9"/>
  <c r="N30" i="10"/>
  <c r="O11" i="8"/>
  <c r="O20" i="8"/>
  <c r="O21" i="8"/>
  <c r="N22" i="9"/>
  <c r="N24" i="9"/>
  <c r="N32" i="6"/>
  <c r="C27" i="15" s="1"/>
  <c r="O25" i="8"/>
  <c r="N22" i="10"/>
  <c r="N24" i="10"/>
  <c r="N35" i="10"/>
  <c r="N36" i="10"/>
  <c r="E36" i="11"/>
  <c r="G3" i="20" l="1"/>
  <c r="F29" i="1"/>
  <c r="F8" i="20"/>
  <c r="C33" i="5"/>
  <c r="K6" i="20"/>
  <c r="J31" i="1"/>
  <c r="E37" i="1"/>
  <c r="E34" i="1"/>
  <c r="C69" i="1"/>
  <c r="C10" i="5"/>
  <c r="C12" i="5" s="1"/>
  <c r="B20" i="11"/>
  <c r="C32" i="10"/>
  <c r="K32" i="10"/>
  <c r="G33" i="6"/>
  <c r="L32" i="8"/>
  <c r="G33" i="7"/>
  <c r="L33" i="7"/>
  <c r="J33" i="5"/>
  <c r="B33" i="6"/>
  <c r="C33" i="6"/>
  <c r="B33" i="7"/>
  <c r="J33" i="7"/>
  <c r="K33" i="6"/>
  <c r="G33" i="5"/>
  <c r="F33" i="6"/>
  <c r="F33" i="7"/>
  <c r="J33" i="6"/>
  <c r="F33" i="5"/>
  <c r="C18" i="11"/>
  <c r="D10" i="11"/>
  <c r="D17" i="1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B17" i="12" s="1"/>
  <c r="C17" i="12" s="1"/>
  <c r="D17" i="12" s="1"/>
  <c r="E17" i="12" s="1"/>
  <c r="F17" i="12" s="1"/>
  <c r="G17" i="12" s="1"/>
  <c r="H17" i="12" s="1"/>
  <c r="I17" i="12" s="1"/>
  <c r="J17" i="12" s="1"/>
  <c r="K17" i="12" s="1"/>
  <c r="L17" i="12" s="1"/>
  <c r="M17" i="12" s="1"/>
  <c r="B17" i="13" s="1"/>
  <c r="C17" i="13" s="1"/>
  <c r="D17" i="13" s="1"/>
  <c r="E17" i="13" s="1"/>
  <c r="F17" i="13" s="1"/>
  <c r="G17" i="13" s="1"/>
  <c r="H17" i="13" s="1"/>
  <c r="I17" i="13" s="1"/>
  <c r="J17" i="13" s="1"/>
  <c r="K17" i="13" s="1"/>
  <c r="L17" i="13" s="1"/>
  <c r="M17" i="13" s="1"/>
  <c r="H32" i="9"/>
  <c r="H33" i="6"/>
  <c r="D33" i="5"/>
  <c r="E32" i="8"/>
  <c r="F36" i="11"/>
  <c r="C11" i="11"/>
  <c r="D39" i="8"/>
  <c r="C39" i="8"/>
  <c r="B12" i="5"/>
  <c r="H32" i="10"/>
  <c r="H33" i="7"/>
  <c r="D32" i="9"/>
  <c r="D33" i="6"/>
  <c r="E15" i="11"/>
  <c r="D32" i="10"/>
  <c r="D33" i="7"/>
  <c r="M32" i="8"/>
  <c r="L33" i="5"/>
  <c r="B44" i="8"/>
  <c r="B28" i="11"/>
  <c r="B29" i="11" s="1"/>
  <c r="B31" i="11" s="1"/>
  <c r="B37" i="11" s="1"/>
  <c r="D9" i="2"/>
  <c r="L33" i="6"/>
  <c r="L32" i="9"/>
  <c r="H33" i="5"/>
  <c r="I32" i="8"/>
  <c r="B12" i="2"/>
  <c r="C11" i="2"/>
  <c r="D7" i="5"/>
  <c r="D71" i="1"/>
  <c r="D72" i="1" s="1"/>
  <c r="E10" i="8" s="1"/>
  <c r="E12" i="8" s="1"/>
  <c r="D68" i="1"/>
  <c r="D67" i="1"/>
  <c r="D66" i="1"/>
  <c r="D51" i="1" s="1"/>
  <c r="D19" i="5"/>
  <c r="E45" i="1"/>
  <c r="F18" i="8" s="1"/>
  <c r="D11" i="11"/>
  <c r="E18" i="8"/>
  <c r="L6" i="20" l="1"/>
  <c r="K31" i="1"/>
  <c r="F37" i="1"/>
  <c r="F34" i="1"/>
  <c r="H3" i="20"/>
  <c r="G29" i="1"/>
  <c r="G8" i="20"/>
  <c r="D24" i="5"/>
  <c r="E23" i="8"/>
  <c r="D18" i="11"/>
  <c r="N32" i="10"/>
  <c r="N32" i="9"/>
  <c r="O32" i="8"/>
  <c r="N33" i="5"/>
  <c r="B28" i="15" s="1"/>
  <c r="N33" i="7"/>
  <c r="D28" i="15" s="1"/>
  <c r="N33" i="6"/>
  <c r="C28" i="15" s="1"/>
  <c r="B38" i="11"/>
  <c r="B40" i="11" s="1"/>
  <c r="D10" i="5"/>
  <c r="D69" i="1"/>
  <c r="E15" i="8"/>
  <c r="D11" i="5"/>
  <c r="E16" i="8"/>
  <c r="C24" i="11"/>
  <c r="C25" i="11" s="1"/>
  <c r="B14" i="5"/>
  <c r="E71" i="1"/>
  <c r="E72" i="1" s="1"/>
  <c r="F10" i="8" s="1"/>
  <c r="F12" i="8" s="1"/>
  <c r="E7" i="5"/>
  <c r="E8" i="5" s="1"/>
  <c r="E68" i="1"/>
  <c r="E67" i="1"/>
  <c r="E66" i="1"/>
  <c r="E51" i="1" s="1"/>
  <c r="F23" i="8" s="1"/>
  <c r="F15" i="11"/>
  <c r="E18" i="11"/>
  <c r="E19" i="5"/>
  <c r="F45" i="1"/>
  <c r="G18" i="8" s="1"/>
  <c r="B13" i="2"/>
  <c r="C12" i="2"/>
  <c r="D35" i="5"/>
  <c r="E37" i="8"/>
  <c r="G36" i="11"/>
  <c r="D24" i="11"/>
  <c r="D25" i="11" s="1"/>
  <c r="C14" i="5"/>
  <c r="D8" i="5"/>
  <c r="C33" i="8"/>
  <c r="B34" i="5"/>
  <c r="E9" i="2"/>
  <c r="G34" i="1" l="1"/>
  <c r="G37" i="1"/>
  <c r="I3" i="20"/>
  <c r="H29" i="1"/>
  <c r="H8" i="20"/>
  <c r="M6" i="20"/>
  <c r="L31" i="1"/>
  <c r="E24" i="5"/>
  <c r="B37" i="5"/>
  <c r="B39" i="5" s="1"/>
  <c r="C15" i="5"/>
  <c r="E35" i="5"/>
  <c r="B14" i="2"/>
  <c r="C13" i="2"/>
  <c r="E10" i="5"/>
  <c r="F39" i="8" s="1"/>
  <c r="E69" i="1"/>
  <c r="E11" i="11"/>
  <c r="D12" i="5"/>
  <c r="E39" i="8"/>
  <c r="H36" i="11"/>
  <c r="F37" i="8"/>
  <c r="E11" i="5"/>
  <c r="F16" i="8"/>
  <c r="F15" i="8"/>
  <c r="C34" i="8"/>
  <c r="F10" i="2"/>
  <c r="E10" i="11"/>
  <c r="F10" i="11" s="1"/>
  <c r="F7" i="5"/>
  <c r="F71" i="1"/>
  <c r="F72" i="1" s="1"/>
  <c r="G10" i="8" s="1"/>
  <c r="G12" i="8" s="1"/>
  <c r="F68" i="1"/>
  <c r="G16" i="8" s="1"/>
  <c r="F67" i="1"/>
  <c r="F66" i="1"/>
  <c r="F51" i="1" s="1"/>
  <c r="G23" i="8" s="1"/>
  <c r="F19" i="5"/>
  <c r="G45" i="1"/>
  <c r="H18" i="8" s="1"/>
  <c r="B15" i="5"/>
  <c r="F18" i="11"/>
  <c r="G15" i="11"/>
  <c r="N6" i="20" l="1"/>
  <c r="M31" i="1"/>
  <c r="H34" i="1"/>
  <c r="H37" i="1"/>
  <c r="J3" i="20"/>
  <c r="I29" i="1"/>
  <c r="I8" i="20"/>
  <c r="F24" i="5"/>
  <c r="G37" i="8"/>
  <c r="F10" i="5"/>
  <c r="G39" i="8" s="1"/>
  <c r="F69" i="1"/>
  <c r="E24" i="11"/>
  <c r="E25" i="11" s="1"/>
  <c r="G7" i="5"/>
  <c r="G8" i="5" s="1"/>
  <c r="G71" i="1"/>
  <c r="G72" i="1" s="1"/>
  <c r="H10" i="8" s="1"/>
  <c r="H12" i="8" s="1"/>
  <c r="G67" i="1"/>
  <c r="G66" i="1"/>
  <c r="G68" i="1"/>
  <c r="H16" i="8" s="1"/>
  <c r="G15" i="8"/>
  <c r="F35" i="5"/>
  <c r="F8" i="5"/>
  <c r="G19" i="5"/>
  <c r="H45" i="1"/>
  <c r="I18" i="8" s="1"/>
  <c r="B15" i="2"/>
  <c r="C14" i="2"/>
  <c r="C28" i="11"/>
  <c r="C29" i="11" s="1"/>
  <c r="C31" i="11" s="1"/>
  <c r="D10" i="2"/>
  <c r="F11" i="5"/>
  <c r="F11" i="11"/>
  <c r="E12" i="5"/>
  <c r="G18" i="11"/>
  <c r="H15" i="11"/>
  <c r="I36" i="11"/>
  <c r="D14" i="5"/>
  <c r="I34" i="1" l="1"/>
  <c r="I37" i="1"/>
  <c r="K3" i="20"/>
  <c r="J8" i="20"/>
  <c r="J29" i="1"/>
  <c r="O6" i="20"/>
  <c r="N31" i="1"/>
  <c r="H37" i="8"/>
  <c r="G51" i="1"/>
  <c r="G10" i="11"/>
  <c r="H10" i="11" s="1"/>
  <c r="G10" i="5"/>
  <c r="G69" i="1"/>
  <c r="B16" i="2"/>
  <c r="C15" i="2"/>
  <c r="H7" i="5"/>
  <c r="H71" i="1"/>
  <c r="H72" i="1" s="1"/>
  <c r="I10" i="8" s="1"/>
  <c r="I12" i="8" s="1"/>
  <c r="H68" i="1"/>
  <c r="I16" i="8" s="1"/>
  <c r="H67" i="1"/>
  <c r="H66" i="1"/>
  <c r="H15" i="8"/>
  <c r="D15" i="5"/>
  <c r="G11" i="5"/>
  <c r="G11" i="11"/>
  <c r="F12" i="5"/>
  <c r="G24" i="11" s="1"/>
  <c r="G25" i="11" s="1"/>
  <c r="I15" i="11"/>
  <c r="H18" i="11"/>
  <c r="J36" i="11"/>
  <c r="F24" i="11"/>
  <c r="F25" i="11" s="1"/>
  <c r="E14" i="5"/>
  <c r="H19" i="5"/>
  <c r="I45" i="1"/>
  <c r="G35" i="5"/>
  <c r="C34" i="5"/>
  <c r="D33" i="8"/>
  <c r="E10" i="2"/>
  <c r="P6" i="20" l="1"/>
  <c r="O31" i="1"/>
  <c r="J34" i="1"/>
  <c r="J37" i="1"/>
  <c r="L3" i="20"/>
  <c r="K8" i="20"/>
  <c r="K29" i="1"/>
  <c r="G24" i="5"/>
  <c r="H23" i="8"/>
  <c r="I37" i="8"/>
  <c r="H51" i="1"/>
  <c r="F14" i="5"/>
  <c r="F15" i="5" s="1"/>
  <c r="E15" i="5"/>
  <c r="I19" i="5"/>
  <c r="J45" i="1"/>
  <c r="K18" i="8" s="1"/>
  <c r="J15" i="11"/>
  <c r="I18" i="11"/>
  <c r="H10" i="5"/>
  <c r="H69" i="1"/>
  <c r="H11" i="11"/>
  <c r="G12" i="5"/>
  <c r="D34" i="8"/>
  <c r="F11" i="2"/>
  <c r="J18" i="8"/>
  <c r="K36" i="11"/>
  <c r="H39" i="8"/>
  <c r="H11" i="5"/>
  <c r="I15" i="8"/>
  <c r="I71" i="1"/>
  <c r="I72" i="1" s="1"/>
  <c r="J10" i="8" s="1"/>
  <c r="J12" i="8" s="1"/>
  <c r="I7" i="5"/>
  <c r="I8" i="5" s="1"/>
  <c r="I68" i="1"/>
  <c r="I67" i="1"/>
  <c r="J15" i="8" s="1"/>
  <c r="I66" i="1"/>
  <c r="I51" i="1" s="1"/>
  <c r="B17" i="2"/>
  <c r="C16" i="2"/>
  <c r="H35" i="5"/>
  <c r="C37" i="5"/>
  <c r="H8" i="5"/>
  <c r="K34" i="1" l="1"/>
  <c r="K37" i="1"/>
  <c r="M3" i="20"/>
  <c r="L8" i="20"/>
  <c r="L29" i="1"/>
  <c r="Q6" i="20"/>
  <c r="P31" i="1"/>
  <c r="J37" i="8"/>
  <c r="I24" i="5"/>
  <c r="H24" i="5"/>
  <c r="J23" i="8"/>
  <c r="I23" i="8"/>
  <c r="I11" i="5"/>
  <c r="L36" i="11"/>
  <c r="J7" i="5"/>
  <c r="J8" i="5" s="1"/>
  <c r="J71" i="1"/>
  <c r="J72" i="1" s="1"/>
  <c r="K10" i="8" s="1"/>
  <c r="K12" i="8" s="1"/>
  <c r="J68" i="1"/>
  <c r="J67" i="1"/>
  <c r="J66" i="1"/>
  <c r="J51" i="1" s="1"/>
  <c r="H24" i="11"/>
  <c r="H25" i="11" s="1"/>
  <c r="G14" i="5"/>
  <c r="I11" i="11"/>
  <c r="H12" i="5"/>
  <c r="J19" i="5"/>
  <c r="K45" i="1"/>
  <c r="L18" i="8" s="1"/>
  <c r="C39" i="5"/>
  <c r="C17" i="2"/>
  <c r="B18" i="2"/>
  <c r="I35" i="5"/>
  <c r="D28" i="11"/>
  <c r="D29" i="11" s="1"/>
  <c r="D31" i="11" s="1"/>
  <c r="D11" i="2"/>
  <c r="I39" i="8"/>
  <c r="I10" i="11"/>
  <c r="J10" i="11" s="1"/>
  <c r="I10" i="5"/>
  <c r="J39" i="8" s="1"/>
  <c r="I69" i="1"/>
  <c r="J18" i="11"/>
  <c r="K15" i="11"/>
  <c r="J16" i="8"/>
  <c r="R6" i="20" l="1"/>
  <c r="Q31" i="1"/>
  <c r="L37" i="1"/>
  <c r="L34" i="1"/>
  <c r="N3" i="20"/>
  <c r="M29" i="1"/>
  <c r="M8" i="20"/>
  <c r="K37" i="8"/>
  <c r="I24" i="11"/>
  <c r="I25" i="11" s="1"/>
  <c r="J24" i="5"/>
  <c r="K23" i="8"/>
  <c r="H14" i="5"/>
  <c r="H15" i="5" s="1"/>
  <c r="J11" i="5"/>
  <c r="J10" i="5"/>
  <c r="K39" i="8" s="1"/>
  <c r="J69" i="1"/>
  <c r="B19" i="2"/>
  <c r="C18" i="2"/>
  <c r="K19" i="5"/>
  <c r="L45" i="1"/>
  <c r="K7" i="5"/>
  <c r="K8" i="5" s="1"/>
  <c r="K71" i="1"/>
  <c r="K72" i="1" s="1"/>
  <c r="L10" i="8" s="1"/>
  <c r="L12" i="8" s="1"/>
  <c r="K68" i="1"/>
  <c r="L16" i="8" s="1"/>
  <c r="K67" i="1"/>
  <c r="K66" i="1"/>
  <c r="K51" i="1" s="1"/>
  <c r="L23" i="8" s="1"/>
  <c r="G15" i="5"/>
  <c r="M36" i="11"/>
  <c r="J11" i="11"/>
  <c r="I12" i="5"/>
  <c r="K18" i="11"/>
  <c r="L15" i="11"/>
  <c r="K15" i="8"/>
  <c r="E33" i="8"/>
  <c r="D34" i="5"/>
  <c r="E11" i="2"/>
  <c r="J35" i="5"/>
  <c r="K10" i="11"/>
  <c r="K16" i="8"/>
  <c r="O3" i="20" l="1"/>
  <c r="N29" i="1"/>
  <c r="N8" i="20"/>
  <c r="M37" i="1"/>
  <c r="M34" i="1"/>
  <c r="S6" i="20"/>
  <c r="R31" i="1"/>
  <c r="K24" i="5"/>
  <c r="L37" i="8"/>
  <c r="D37" i="5"/>
  <c r="N36" i="11"/>
  <c r="K35" i="5"/>
  <c r="L7" i="5"/>
  <c r="L8" i="5" s="1"/>
  <c r="L71" i="1"/>
  <c r="L72" i="1" s="1"/>
  <c r="M10" i="8" s="1"/>
  <c r="M12" i="8" s="1"/>
  <c r="L68" i="1"/>
  <c r="M16" i="8" s="1"/>
  <c r="L67" i="1"/>
  <c r="M15" i="8" s="1"/>
  <c r="L66" i="1"/>
  <c r="L51" i="1" s="1"/>
  <c r="L19" i="5"/>
  <c r="M45" i="1"/>
  <c r="M15" i="11"/>
  <c r="L18" i="11"/>
  <c r="J24" i="11"/>
  <c r="J25" i="11" s="1"/>
  <c r="I14" i="5"/>
  <c r="K10" i="5"/>
  <c r="L39" i="8" s="1"/>
  <c r="K69" i="1"/>
  <c r="L10" i="11"/>
  <c r="K11" i="11"/>
  <c r="J12" i="5"/>
  <c r="E34" i="8"/>
  <c r="F12" i="2"/>
  <c r="K11" i="5"/>
  <c r="M18" i="8"/>
  <c r="B20" i="2"/>
  <c r="C19" i="2"/>
  <c r="L15" i="8"/>
  <c r="T6" i="20" l="1"/>
  <c r="S31" i="1"/>
  <c r="N37" i="1"/>
  <c r="N34" i="1"/>
  <c r="P3" i="20"/>
  <c r="O29" i="1"/>
  <c r="O8" i="20"/>
  <c r="L24" i="5"/>
  <c r="M23" i="8"/>
  <c r="E28" i="11"/>
  <c r="E29" i="11" s="1"/>
  <c r="E31" i="11" s="1"/>
  <c r="D12" i="2"/>
  <c r="L35" i="5"/>
  <c r="B21" i="2"/>
  <c r="C20" i="2"/>
  <c r="I15" i="5"/>
  <c r="M19" i="5"/>
  <c r="N45" i="1"/>
  <c r="L10" i="5"/>
  <c r="M39" i="8" s="1"/>
  <c r="L69" i="1"/>
  <c r="M10" i="11"/>
  <c r="B36" i="12"/>
  <c r="K24" i="11"/>
  <c r="K25" i="11" s="1"/>
  <c r="J14" i="5"/>
  <c r="L11" i="5"/>
  <c r="N15" i="11"/>
  <c r="M18" i="11"/>
  <c r="L11" i="11"/>
  <c r="K12" i="5"/>
  <c r="N18" i="8"/>
  <c r="O18" i="8" s="1"/>
  <c r="M71" i="1"/>
  <c r="M72" i="1" s="1"/>
  <c r="N10" i="8" s="1"/>
  <c r="M7" i="5"/>
  <c r="M68" i="1"/>
  <c r="N16" i="8" s="1"/>
  <c r="O16" i="8" s="1"/>
  <c r="M67" i="1"/>
  <c r="M66" i="1"/>
  <c r="M51" i="1" s="1"/>
  <c r="M37" i="8"/>
  <c r="D39" i="5"/>
  <c r="U6" i="20" l="1"/>
  <c r="T31" i="1"/>
  <c r="Q3" i="20"/>
  <c r="P29" i="1"/>
  <c r="P8" i="20"/>
  <c r="O34" i="1"/>
  <c r="O37" i="1"/>
  <c r="M24" i="5"/>
  <c r="N24" i="5" s="1"/>
  <c r="B19" i="15" s="1"/>
  <c r="N23" i="8"/>
  <c r="O23" i="8" s="1"/>
  <c r="B19" i="6"/>
  <c r="O45" i="1"/>
  <c r="C18" i="9" s="1"/>
  <c r="M35" i="5"/>
  <c r="N35" i="5" s="1"/>
  <c r="J15" i="5"/>
  <c r="N19" i="5"/>
  <c r="B14" i="15" s="1"/>
  <c r="N37" i="8"/>
  <c r="O37" i="8" s="1"/>
  <c r="M10" i="5"/>
  <c r="N39" i="8" s="1"/>
  <c r="M69" i="1"/>
  <c r="M11" i="11"/>
  <c r="L12" i="5"/>
  <c r="B18" i="9"/>
  <c r="N12" i="8"/>
  <c r="O10" i="8"/>
  <c r="C36" i="12"/>
  <c r="B22" i="2"/>
  <c r="C21" i="2"/>
  <c r="M11" i="5"/>
  <c r="N11" i="5" s="1"/>
  <c r="B7" i="15" s="1"/>
  <c r="L24" i="11"/>
  <c r="L25" i="11" s="1"/>
  <c r="K14" i="5"/>
  <c r="N15" i="8"/>
  <c r="O15" i="8" s="1"/>
  <c r="F33" i="8"/>
  <c r="E34" i="5"/>
  <c r="E12" i="2"/>
  <c r="M8" i="5"/>
  <c r="N7" i="5"/>
  <c r="B3" i="15" s="1"/>
  <c r="B7" i="6"/>
  <c r="N71" i="1"/>
  <c r="N72" i="1" s="1"/>
  <c r="B10" i="9" s="1"/>
  <c r="N68" i="1"/>
  <c r="B16" i="9" s="1"/>
  <c r="N67" i="1"/>
  <c r="N66" i="1"/>
  <c r="B15" i="12"/>
  <c r="N18" i="11"/>
  <c r="P34" i="1" l="1"/>
  <c r="P37" i="1"/>
  <c r="R3" i="20"/>
  <c r="Q29" i="1"/>
  <c r="Q8" i="20"/>
  <c r="V6" i="20"/>
  <c r="U31" i="1"/>
  <c r="B29" i="15"/>
  <c r="B10" i="19" s="1"/>
  <c r="B37" i="9"/>
  <c r="N51" i="1"/>
  <c r="B10" i="6"/>
  <c r="B39" i="9" s="1"/>
  <c r="N69" i="1"/>
  <c r="O12" i="8"/>
  <c r="B18" i="12"/>
  <c r="C15" i="12"/>
  <c r="N10" i="11"/>
  <c r="N8" i="5"/>
  <c r="B23" i="2"/>
  <c r="C22" i="2"/>
  <c r="D36" i="12"/>
  <c r="B35" i="6"/>
  <c r="B8" i="6"/>
  <c r="E37" i="5"/>
  <c r="O39" i="8"/>
  <c r="N11" i="11"/>
  <c r="M12" i="5"/>
  <c r="N10" i="5"/>
  <c r="B6" i="15" s="1"/>
  <c r="B8" i="15" s="1"/>
  <c r="B8" i="19" s="1"/>
  <c r="B7" i="19"/>
  <c r="B4" i="15"/>
  <c r="B15" i="9"/>
  <c r="B11" i="6"/>
  <c r="C7" i="6"/>
  <c r="C8" i="6" s="1"/>
  <c r="O71" i="1"/>
  <c r="O72" i="1" s="1"/>
  <c r="C10" i="9" s="1"/>
  <c r="C12" i="9" s="1"/>
  <c r="O67" i="1"/>
  <c r="C15" i="9" s="1"/>
  <c r="O66" i="1"/>
  <c r="O51" i="1" s="1"/>
  <c r="O68" i="1"/>
  <c r="B12" i="9"/>
  <c r="F34" i="8"/>
  <c r="F13" i="2"/>
  <c r="K15" i="5"/>
  <c r="M24" i="11"/>
  <c r="M25" i="11" s="1"/>
  <c r="L14" i="5"/>
  <c r="C19" i="6"/>
  <c r="P45" i="1"/>
  <c r="D18" i="9" s="1"/>
  <c r="W6" i="20" l="1"/>
  <c r="V31" i="1"/>
  <c r="Q34" i="1"/>
  <c r="Q37" i="1"/>
  <c r="S3" i="20"/>
  <c r="R8" i="20"/>
  <c r="R29" i="1"/>
  <c r="C24" i="6"/>
  <c r="B24" i="6"/>
  <c r="C23" i="9"/>
  <c r="B23" i="9"/>
  <c r="B10" i="15"/>
  <c r="F28" i="11"/>
  <c r="F29" i="11" s="1"/>
  <c r="F31" i="11" s="1"/>
  <c r="D13" i="2"/>
  <c r="N24" i="11"/>
  <c r="N25" i="11" s="1"/>
  <c r="N12" i="5"/>
  <c r="C18" i="12"/>
  <c r="D15" i="12"/>
  <c r="C10" i="6"/>
  <c r="C39" i="9" s="1"/>
  <c r="O69" i="1"/>
  <c r="C7" i="19"/>
  <c r="B9" i="19"/>
  <c r="E39" i="5"/>
  <c r="M14" i="5"/>
  <c r="D19" i="6"/>
  <c r="Q45" i="1"/>
  <c r="C11" i="6"/>
  <c r="C35" i="6"/>
  <c r="C37" i="9"/>
  <c r="C10" i="19"/>
  <c r="C16" i="9"/>
  <c r="C8" i="19"/>
  <c r="B10" i="12"/>
  <c r="C10" i="12" s="1"/>
  <c r="E36" i="12"/>
  <c r="B24" i="2"/>
  <c r="C23" i="2"/>
  <c r="B11" i="12"/>
  <c r="B12" i="6"/>
  <c r="B14" i="6" s="1"/>
  <c r="B15" i="6" s="1"/>
  <c r="L15" i="5"/>
  <c r="D7" i="6"/>
  <c r="P71" i="1"/>
  <c r="P72" i="1" s="1"/>
  <c r="D10" i="9" s="1"/>
  <c r="P68" i="1"/>
  <c r="D16" i="9" s="1"/>
  <c r="P67" i="1"/>
  <c r="D15" i="9" s="1"/>
  <c r="P66" i="1"/>
  <c r="P51" i="1" s="1"/>
  <c r="R34" i="1" l="1"/>
  <c r="R37" i="1"/>
  <c r="T3" i="20"/>
  <c r="S8" i="20"/>
  <c r="S29" i="1"/>
  <c r="X6" i="20"/>
  <c r="W31" i="1"/>
  <c r="D24" i="6"/>
  <c r="D23" i="9"/>
  <c r="D35" i="6"/>
  <c r="J8" i="19"/>
  <c r="C9" i="19"/>
  <c r="D10" i="6"/>
  <c r="D39" i="9" s="1"/>
  <c r="P69" i="1"/>
  <c r="D8" i="6"/>
  <c r="B24" i="12"/>
  <c r="B25" i="12" s="1"/>
  <c r="F36" i="12"/>
  <c r="D37" i="9"/>
  <c r="E19" i="6"/>
  <c r="R45" i="1"/>
  <c r="F18" i="9" s="1"/>
  <c r="D18" i="12"/>
  <c r="E15" i="12"/>
  <c r="D12" i="9"/>
  <c r="N14" i="5"/>
  <c r="N15" i="5" s="1"/>
  <c r="M15" i="5"/>
  <c r="D11" i="6"/>
  <c r="E18" i="9"/>
  <c r="G33" i="8"/>
  <c r="F34" i="5"/>
  <c r="E13" i="2"/>
  <c r="Q71" i="1"/>
  <c r="Q72" i="1" s="1"/>
  <c r="E10" i="9" s="1"/>
  <c r="E12" i="9" s="1"/>
  <c r="E7" i="6"/>
  <c r="E8" i="6" s="1"/>
  <c r="Q68" i="1"/>
  <c r="Q67" i="1"/>
  <c r="E15" i="9" s="1"/>
  <c r="Q66" i="1"/>
  <c r="Q51" i="1" s="1"/>
  <c r="C11" i="12"/>
  <c r="C12" i="6"/>
  <c r="B25" i="2"/>
  <c r="C24" i="2"/>
  <c r="S34" i="1" l="1"/>
  <c r="S37" i="1"/>
  <c r="Y6" i="20"/>
  <c r="X31" i="1"/>
  <c r="U3" i="20"/>
  <c r="T8" i="20"/>
  <c r="T29" i="1"/>
  <c r="E24" i="6"/>
  <c r="E23" i="9"/>
  <c r="E35" i="6"/>
  <c r="E18" i="12"/>
  <c r="F15" i="12"/>
  <c r="E37" i="9"/>
  <c r="E11" i="6"/>
  <c r="F37" i="5"/>
  <c r="F39" i="5" s="1"/>
  <c r="G36" i="12"/>
  <c r="C24" i="12"/>
  <c r="C25" i="12" s="1"/>
  <c r="C14" i="6"/>
  <c r="D10" i="12"/>
  <c r="E10" i="12" s="1"/>
  <c r="C25" i="2"/>
  <c r="B26" i="2"/>
  <c r="E10" i="6"/>
  <c r="E39" i="9" s="1"/>
  <c r="Q69" i="1"/>
  <c r="G34" i="8"/>
  <c r="F14" i="2"/>
  <c r="D11" i="12"/>
  <c r="D12" i="6"/>
  <c r="D24" i="12" s="1"/>
  <c r="D25" i="12" s="1"/>
  <c r="E16" i="9"/>
  <c r="F19" i="6"/>
  <c r="S45" i="1"/>
  <c r="G18" i="9" s="1"/>
  <c r="F7" i="6"/>
  <c r="R71" i="1"/>
  <c r="R72" i="1" s="1"/>
  <c r="F10" i="9" s="1"/>
  <c r="F12" i="9" s="1"/>
  <c r="R68" i="1"/>
  <c r="R67" i="1"/>
  <c r="F15" i="9" s="1"/>
  <c r="R66" i="1"/>
  <c r="R51" i="1" s="1"/>
  <c r="V3" i="20" l="1"/>
  <c r="U8" i="20"/>
  <c r="U29" i="1"/>
  <c r="T37" i="1"/>
  <c r="T34" i="1"/>
  <c r="Z6" i="20"/>
  <c r="Y31" i="1"/>
  <c r="F24" i="6"/>
  <c r="F23" i="9"/>
  <c r="D14" i="6"/>
  <c r="D15" i="6" s="1"/>
  <c r="F11" i="6"/>
  <c r="G7" i="6"/>
  <c r="G8" i="6" s="1"/>
  <c r="S71" i="1"/>
  <c r="S72" i="1" s="1"/>
  <c r="G10" i="9" s="1"/>
  <c r="G12" i="9" s="1"/>
  <c r="S68" i="1"/>
  <c r="S67" i="1"/>
  <c r="G15" i="9" s="1"/>
  <c r="S66" i="1"/>
  <c r="E11" i="12"/>
  <c r="E12" i="6"/>
  <c r="F8" i="6"/>
  <c r="G15" i="12"/>
  <c r="F18" i="12"/>
  <c r="C15" i="6"/>
  <c r="F35" i="6"/>
  <c r="G28" i="11"/>
  <c r="G29" i="11" s="1"/>
  <c r="G31" i="11" s="1"/>
  <c r="D14" i="2"/>
  <c r="F10" i="6"/>
  <c r="R69" i="1"/>
  <c r="G19" i="6"/>
  <c r="T45" i="1"/>
  <c r="F37" i="9"/>
  <c r="B27" i="2"/>
  <c r="C26" i="2"/>
  <c r="H36" i="12"/>
  <c r="F16" i="9"/>
  <c r="AA6" i="20" l="1"/>
  <c r="Z31" i="1"/>
  <c r="U37" i="1"/>
  <c r="U34" i="1"/>
  <c r="W3" i="20"/>
  <c r="V29" i="1"/>
  <c r="V8" i="20"/>
  <c r="G37" i="9"/>
  <c r="S51" i="1"/>
  <c r="H19" i="6"/>
  <c r="U45" i="1"/>
  <c r="F11" i="12"/>
  <c r="F12" i="6"/>
  <c r="F24" i="12" s="1"/>
  <c r="F25" i="12" s="1"/>
  <c r="F10" i="12"/>
  <c r="G10" i="12" s="1"/>
  <c r="F39" i="9"/>
  <c r="H18" i="9"/>
  <c r="H7" i="6"/>
  <c r="T71" i="1"/>
  <c r="T72" i="1" s="1"/>
  <c r="H10" i="9" s="1"/>
  <c r="T68" i="1"/>
  <c r="H16" i="9" s="1"/>
  <c r="T67" i="1"/>
  <c r="H15" i="9" s="1"/>
  <c r="T66" i="1"/>
  <c r="G34" i="5"/>
  <c r="G37" i="5" s="1"/>
  <c r="G39" i="5" s="1"/>
  <c r="H33" i="8"/>
  <c r="E14" i="2"/>
  <c r="G11" i="6"/>
  <c r="I36" i="12"/>
  <c r="B28" i="2"/>
  <c r="C27" i="2"/>
  <c r="G35" i="6"/>
  <c r="G18" i="12"/>
  <c r="H15" i="12"/>
  <c r="E24" i="12"/>
  <c r="E25" i="12" s="1"/>
  <c r="E14" i="6"/>
  <c r="G10" i="6"/>
  <c r="S69" i="1"/>
  <c r="G16" i="9"/>
  <c r="V37" i="1" l="1"/>
  <c r="V34" i="1"/>
  <c r="X3" i="20"/>
  <c r="W29" i="1"/>
  <c r="W8" i="20"/>
  <c r="AB6" i="20"/>
  <c r="AA31" i="1"/>
  <c r="H37" i="9"/>
  <c r="T51" i="1"/>
  <c r="H23" i="9" s="1"/>
  <c r="G24" i="6"/>
  <c r="G23" i="9"/>
  <c r="F14" i="6"/>
  <c r="F15" i="6" s="1"/>
  <c r="H12" i="9"/>
  <c r="G11" i="12"/>
  <c r="G12" i="6"/>
  <c r="H18" i="12"/>
  <c r="I15" i="12"/>
  <c r="J36" i="12"/>
  <c r="H34" i="8"/>
  <c r="F15" i="2"/>
  <c r="H10" i="6"/>
  <c r="T69" i="1"/>
  <c r="H8" i="6"/>
  <c r="I19" i="6"/>
  <c r="V45" i="1"/>
  <c r="J18" i="9" s="1"/>
  <c r="B29" i="2"/>
  <c r="C28" i="2"/>
  <c r="H11" i="6"/>
  <c r="I18" i="9"/>
  <c r="E15" i="6"/>
  <c r="I7" i="6"/>
  <c r="I8" i="6" s="1"/>
  <c r="U71" i="1"/>
  <c r="U72" i="1" s="1"/>
  <c r="I10" i="9" s="1"/>
  <c r="I12" i="9" s="1"/>
  <c r="U68" i="1"/>
  <c r="I16" i="9" s="1"/>
  <c r="U67" i="1"/>
  <c r="U66" i="1"/>
  <c r="U51" i="1" s="1"/>
  <c r="G39" i="9"/>
  <c r="H35" i="6"/>
  <c r="AC6" i="20" l="1"/>
  <c r="AB31" i="1"/>
  <c r="W34" i="1"/>
  <c r="W37" i="1"/>
  <c r="Y3" i="20"/>
  <c r="X8" i="20"/>
  <c r="X29" i="1"/>
  <c r="I37" i="9"/>
  <c r="H24" i="6"/>
  <c r="I23" i="9"/>
  <c r="I24" i="6"/>
  <c r="I10" i="6"/>
  <c r="U69" i="1"/>
  <c r="H11" i="12"/>
  <c r="H12" i="6"/>
  <c r="I39" i="9"/>
  <c r="H39" i="9"/>
  <c r="I11" i="6"/>
  <c r="B30" i="2"/>
  <c r="C29" i="2"/>
  <c r="J19" i="6"/>
  <c r="W45" i="1"/>
  <c r="K18" i="9" s="1"/>
  <c r="H10" i="12"/>
  <c r="I10" i="12" s="1"/>
  <c r="H28" i="11"/>
  <c r="H29" i="11" s="1"/>
  <c r="H31" i="11" s="1"/>
  <c r="D15" i="2"/>
  <c r="I18" i="12"/>
  <c r="J15" i="12"/>
  <c r="J7" i="6"/>
  <c r="J8" i="6" s="1"/>
  <c r="V71" i="1"/>
  <c r="V72" i="1" s="1"/>
  <c r="J10" i="9" s="1"/>
  <c r="J12" i="9" s="1"/>
  <c r="V68" i="1"/>
  <c r="J16" i="9" s="1"/>
  <c r="V67" i="1"/>
  <c r="V66" i="1"/>
  <c r="V51" i="1" s="1"/>
  <c r="I35" i="6"/>
  <c r="I15" i="9"/>
  <c r="K36" i="12"/>
  <c r="G24" i="12"/>
  <c r="G25" i="12" s="1"/>
  <c r="G14" i="6"/>
  <c r="X34" i="1" l="1"/>
  <c r="X37" i="1"/>
  <c r="Z3" i="20"/>
  <c r="Y8" i="20"/>
  <c r="Y29" i="1"/>
  <c r="AD6" i="20"/>
  <c r="AC31" i="1"/>
  <c r="H24" i="12"/>
  <c r="H25" i="12" s="1"/>
  <c r="J37" i="9"/>
  <c r="J24" i="6"/>
  <c r="J23" i="9"/>
  <c r="H14" i="6"/>
  <c r="H15" i="6" s="1"/>
  <c r="K7" i="6"/>
  <c r="K8" i="6" s="1"/>
  <c r="W71" i="1"/>
  <c r="W72" i="1" s="1"/>
  <c r="K10" i="9" s="1"/>
  <c r="K12" i="9" s="1"/>
  <c r="W67" i="1"/>
  <c r="K15" i="9" s="1"/>
  <c r="W66" i="1"/>
  <c r="W68" i="1"/>
  <c r="K16" i="9" s="1"/>
  <c r="J35" i="6"/>
  <c r="J10" i="12"/>
  <c r="I33" i="8"/>
  <c r="H34" i="5"/>
  <c r="H37" i="5" s="1"/>
  <c r="H39" i="5" s="1"/>
  <c r="E15" i="2"/>
  <c r="L36" i="12"/>
  <c r="J18" i="12"/>
  <c r="K15" i="12"/>
  <c r="J10" i="6"/>
  <c r="J39" i="9" s="1"/>
  <c r="V69" i="1"/>
  <c r="G15" i="6"/>
  <c r="J11" i="6"/>
  <c r="K19" i="6"/>
  <c r="X45" i="1"/>
  <c r="B31" i="2"/>
  <c r="C30" i="2"/>
  <c r="I11" i="12"/>
  <c r="I12" i="6"/>
  <c r="J15" i="9"/>
  <c r="AE6" i="20" l="1"/>
  <c r="AD31" i="1"/>
  <c r="Y37" i="1"/>
  <c r="Y34" i="1"/>
  <c r="AA3" i="20"/>
  <c r="Z8" i="20"/>
  <c r="Z29" i="1"/>
  <c r="K37" i="9"/>
  <c r="W51" i="1"/>
  <c r="K11" i="6"/>
  <c r="I24" i="12"/>
  <c r="I25" i="12" s="1"/>
  <c r="I14" i="6"/>
  <c r="I34" i="8"/>
  <c r="F16" i="2"/>
  <c r="M36" i="12"/>
  <c r="K35" i="6"/>
  <c r="K10" i="12"/>
  <c r="L7" i="6"/>
  <c r="L8" i="6" s="1"/>
  <c r="X71" i="1"/>
  <c r="X72" i="1" s="1"/>
  <c r="L10" i="9" s="1"/>
  <c r="L12" i="9" s="1"/>
  <c r="X68" i="1"/>
  <c r="L16" i="9" s="1"/>
  <c r="X67" i="1"/>
  <c r="L15" i="9" s="1"/>
  <c r="X66" i="1"/>
  <c r="X51" i="1" s="1"/>
  <c r="L19" i="6"/>
  <c r="Y45" i="1"/>
  <c r="L15" i="12"/>
  <c r="K18" i="12"/>
  <c r="B32" i="2"/>
  <c r="C31" i="2"/>
  <c r="L18" i="9"/>
  <c r="J11" i="12"/>
  <c r="J12" i="6"/>
  <c r="K10" i="6"/>
  <c r="K39" i="9" s="1"/>
  <c r="W69" i="1"/>
  <c r="Z34" i="1" l="1"/>
  <c r="Z37" i="1"/>
  <c r="AB3" i="20"/>
  <c r="AA8" i="20"/>
  <c r="AA29" i="1"/>
  <c r="AF6" i="20"/>
  <c r="AE31" i="1"/>
  <c r="L24" i="6"/>
  <c r="L23" i="9"/>
  <c r="K24" i="6"/>
  <c r="K23" i="9"/>
  <c r="Y71" i="1"/>
  <c r="Y72" i="1" s="1"/>
  <c r="M10" i="9" s="1"/>
  <c r="M7" i="6"/>
  <c r="Y68" i="1"/>
  <c r="M16" i="9" s="1"/>
  <c r="N16" i="9" s="1"/>
  <c r="Y67" i="1"/>
  <c r="Y66" i="1"/>
  <c r="Y51" i="1" s="1"/>
  <c r="K11" i="12"/>
  <c r="K12" i="6"/>
  <c r="M15" i="12"/>
  <c r="L18" i="12"/>
  <c r="L35" i="6"/>
  <c r="I28" i="11"/>
  <c r="I29" i="11" s="1"/>
  <c r="I31" i="11" s="1"/>
  <c r="D16" i="2"/>
  <c r="M19" i="6"/>
  <c r="Z45" i="1"/>
  <c r="B18" i="10" s="1"/>
  <c r="M15" i="9"/>
  <c r="N15" i="9" s="1"/>
  <c r="L10" i="6"/>
  <c r="X69" i="1"/>
  <c r="L10" i="12"/>
  <c r="B36" i="13"/>
  <c r="J24" i="12"/>
  <c r="J25" i="12" s="1"/>
  <c r="J14" i="6"/>
  <c r="B33" i="2"/>
  <c r="C32" i="2"/>
  <c r="M18" i="9"/>
  <c r="N18" i="9" s="1"/>
  <c r="L11" i="6"/>
  <c r="L37" i="9"/>
  <c r="I15" i="6"/>
  <c r="AG6" i="20" l="1"/>
  <c r="AF31" i="1"/>
  <c r="AA34" i="1"/>
  <c r="AA37" i="1"/>
  <c r="AC3" i="20"/>
  <c r="AB8" i="20"/>
  <c r="AB29" i="1"/>
  <c r="M24" i="6"/>
  <c r="N24" i="6" s="1"/>
  <c r="C19" i="15" s="1"/>
  <c r="M23" i="9"/>
  <c r="N23" i="9" s="1"/>
  <c r="C33" i="2"/>
  <c r="B34" i="2"/>
  <c r="L11" i="12"/>
  <c r="L12" i="6"/>
  <c r="M18" i="12"/>
  <c r="B15" i="13"/>
  <c r="B7" i="7"/>
  <c r="Z71" i="1"/>
  <c r="Z72" i="1" s="1"/>
  <c r="B10" i="10" s="1"/>
  <c r="Z68" i="1"/>
  <c r="B16" i="10" s="1"/>
  <c r="Z67" i="1"/>
  <c r="B15" i="10" s="1"/>
  <c r="Z66" i="1"/>
  <c r="Z51" i="1" s="1"/>
  <c r="M8" i="6"/>
  <c r="N7" i="6"/>
  <c r="C3" i="15" s="1"/>
  <c r="K24" i="12"/>
  <c r="K25" i="12" s="1"/>
  <c r="K14" i="6"/>
  <c r="M35" i="6"/>
  <c r="N35" i="6" s="1"/>
  <c r="M12" i="9"/>
  <c r="N10" i="9"/>
  <c r="B19" i="7"/>
  <c r="AA45" i="1"/>
  <c r="C18" i="10" s="1"/>
  <c r="J33" i="8"/>
  <c r="I34" i="5"/>
  <c r="I37" i="5" s="1"/>
  <c r="I39" i="5" s="1"/>
  <c r="E16" i="2"/>
  <c r="M37" i="9"/>
  <c r="N37" i="9" s="1"/>
  <c r="L39" i="9"/>
  <c r="M10" i="6"/>
  <c r="M39" i="9" s="1"/>
  <c r="Y69" i="1"/>
  <c r="J15" i="6"/>
  <c r="C36" i="13"/>
  <c r="N19" i="6"/>
  <c r="C14" i="15" s="1"/>
  <c r="M11" i="6"/>
  <c r="N11" i="6" s="1"/>
  <c r="C7" i="15" s="1"/>
  <c r="AB37" i="1" l="1"/>
  <c r="AB34" i="1"/>
  <c r="C29" i="15"/>
  <c r="D10" i="19" s="1"/>
  <c r="AD3" i="20"/>
  <c r="AC29" i="1"/>
  <c r="AC8" i="20"/>
  <c r="AH6" i="20"/>
  <c r="AG31" i="1"/>
  <c r="B37" i="10"/>
  <c r="B24" i="7"/>
  <c r="B23" i="10"/>
  <c r="N39" i="9"/>
  <c r="D36" i="13"/>
  <c r="C15" i="13"/>
  <c r="B18" i="13"/>
  <c r="M10" i="12"/>
  <c r="N8" i="6"/>
  <c r="B11" i="7"/>
  <c r="J34" i="8"/>
  <c r="F17" i="2"/>
  <c r="K7" i="19"/>
  <c r="D7" i="19"/>
  <c r="E7" i="19" s="1"/>
  <c r="C4" i="15"/>
  <c r="K15" i="6"/>
  <c r="C7" i="7"/>
  <c r="C8" i="7" s="1"/>
  <c r="AA68" i="1"/>
  <c r="C16" i="10" s="1"/>
  <c r="AA71" i="1"/>
  <c r="AA72" i="1" s="1"/>
  <c r="C10" i="10" s="1"/>
  <c r="C12" i="10" s="1"/>
  <c r="AA67" i="1"/>
  <c r="C15" i="10" s="1"/>
  <c r="AA66" i="1"/>
  <c r="AA51" i="1" s="1"/>
  <c r="B12" i="10"/>
  <c r="L24" i="12"/>
  <c r="L25" i="12" s="1"/>
  <c r="L14" i="6"/>
  <c r="B35" i="2"/>
  <c r="C34" i="2"/>
  <c r="C19" i="7"/>
  <c r="AB45" i="1"/>
  <c r="D18" i="10" s="1"/>
  <c r="N12" i="9"/>
  <c r="B35" i="7"/>
  <c r="B8" i="7"/>
  <c r="M11" i="12"/>
  <c r="M12" i="6"/>
  <c r="N10" i="6"/>
  <c r="C6" i="15" s="1"/>
  <c r="C8" i="15" s="1"/>
  <c r="D8" i="19" s="1"/>
  <c r="B10" i="7"/>
  <c r="Z69" i="1"/>
  <c r="AC37" i="1" l="1"/>
  <c r="AC34" i="1"/>
  <c r="AI6" i="20"/>
  <c r="AH31" i="1"/>
  <c r="AE3" i="20"/>
  <c r="AD29" i="1"/>
  <c r="AD8" i="20"/>
  <c r="C24" i="7"/>
  <c r="C23" i="10"/>
  <c r="E10" i="19"/>
  <c r="B11" i="13"/>
  <c r="B12" i="7"/>
  <c r="B14" i="7" s="1"/>
  <c r="L15" i="6"/>
  <c r="C35" i="7"/>
  <c r="M24" i="12"/>
  <c r="M25" i="12" s="1"/>
  <c r="N12" i="6"/>
  <c r="B10" i="13"/>
  <c r="C10" i="13" s="1"/>
  <c r="C10" i="7"/>
  <c r="AA69" i="1"/>
  <c r="M14" i="6"/>
  <c r="D15" i="13"/>
  <c r="C18" i="13"/>
  <c r="D9" i="19"/>
  <c r="E8" i="19"/>
  <c r="B36" i="2"/>
  <c r="C35" i="2"/>
  <c r="E36" i="13"/>
  <c r="B39" i="10"/>
  <c r="C37" i="10"/>
  <c r="D19" i="7"/>
  <c r="AC45" i="1"/>
  <c r="C11" i="7"/>
  <c r="J28" i="11"/>
  <c r="J29" i="11" s="1"/>
  <c r="J31" i="11" s="1"/>
  <c r="D17" i="2"/>
  <c r="D7" i="7"/>
  <c r="AB71" i="1"/>
  <c r="AB72" i="1" s="1"/>
  <c r="D10" i="10" s="1"/>
  <c r="D12" i="10" s="1"/>
  <c r="AB68" i="1"/>
  <c r="AB67" i="1"/>
  <c r="D15" i="10" s="1"/>
  <c r="AB66" i="1"/>
  <c r="C10" i="15"/>
  <c r="AD37" i="1" l="1"/>
  <c r="AD34" i="1"/>
  <c r="AF3" i="20"/>
  <c r="AE29" i="1"/>
  <c r="AE8" i="20"/>
  <c r="AJ6" i="20"/>
  <c r="AI31" i="1"/>
  <c r="D37" i="10"/>
  <c r="AB51" i="1"/>
  <c r="C11" i="13"/>
  <c r="C12" i="7"/>
  <c r="D8" i="7"/>
  <c r="E19" i="7"/>
  <c r="AD45" i="1"/>
  <c r="F18" i="10" s="1"/>
  <c r="B37" i="2"/>
  <c r="C36" i="2"/>
  <c r="D18" i="13"/>
  <c r="E15" i="13"/>
  <c r="D10" i="7"/>
  <c r="AB69" i="1"/>
  <c r="N14" i="6"/>
  <c r="N15" i="6" s="1"/>
  <c r="M15" i="6"/>
  <c r="B24" i="13"/>
  <c r="B25" i="13" s="1"/>
  <c r="D35" i="7"/>
  <c r="K33" i="8"/>
  <c r="J34" i="5"/>
  <c r="J37" i="5" s="1"/>
  <c r="J39" i="5" s="1"/>
  <c r="E17" i="2"/>
  <c r="C39" i="10"/>
  <c r="D11" i="7"/>
  <c r="E7" i="7"/>
  <c r="E8" i="7" s="1"/>
  <c r="AC71" i="1"/>
  <c r="AC72" i="1" s="1"/>
  <c r="E10" i="10" s="1"/>
  <c r="E12" i="10" s="1"/>
  <c r="AC68" i="1"/>
  <c r="AC67" i="1"/>
  <c r="AC66" i="1"/>
  <c r="AC51" i="1" s="1"/>
  <c r="D16" i="10"/>
  <c r="E18" i="10"/>
  <c r="F36" i="13"/>
  <c r="K8" i="19"/>
  <c r="E9" i="19"/>
  <c r="B15" i="7"/>
  <c r="AK6" i="20" l="1"/>
  <c r="AK31" i="1" s="1"/>
  <c r="AJ31" i="1"/>
  <c r="AE34" i="1"/>
  <c r="AE37" i="1"/>
  <c r="AG3" i="20"/>
  <c r="AF8" i="20"/>
  <c r="AF29" i="1"/>
  <c r="D24" i="7"/>
  <c r="E23" i="10"/>
  <c r="D23" i="10"/>
  <c r="E37" i="10"/>
  <c r="E24" i="7"/>
  <c r="E10" i="7"/>
  <c r="E39" i="10" s="1"/>
  <c r="AC69" i="1"/>
  <c r="K34" i="8"/>
  <c r="F18" i="2"/>
  <c r="D11" i="13"/>
  <c r="D12" i="7"/>
  <c r="D14" i="7" s="1"/>
  <c r="C24" i="13"/>
  <c r="C25" i="13" s="1"/>
  <c r="C14" i="7"/>
  <c r="E11" i="7"/>
  <c r="E16" i="10"/>
  <c r="E15" i="10"/>
  <c r="D39" i="10"/>
  <c r="F7" i="7"/>
  <c r="F8" i="7" s="1"/>
  <c r="AD71" i="1"/>
  <c r="AD72" i="1" s="1"/>
  <c r="F10" i="10" s="1"/>
  <c r="F12" i="10" s="1"/>
  <c r="AD68" i="1"/>
  <c r="AD67" i="1"/>
  <c r="F15" i="10" s="1"/>
  <c r="AD66" i="1"/>
  <c r="AD51" i="1" s="1"/>
  <c r="E18" i="13"/>
  <c r="F15" i="13"/>
  <c r="B38" i="2"/>
  <c r="C37" i="2"/>
  <c r="G36" i="13"/>
  <c r="E35" i="7"/>
  <c r="F19" i="7"/>
  <c r="AE45" i="1"/>
  <c r="G18" i="10" s="1"/>
  <c r="D10" i="13"/>
  <c r="E10" i="13" s="1"/>
  <c r="AF34" i="1" l="1"/>
  <c r="AF37" i="1"/>
  <c r="AH3" i="20"/>
  <c r="AG29" i="1"/>
  <c r="AG8" i="20"/>
  <c r="F37" i="10"/>
  <c r="F24" i="7"/>
  <c r="F23" i="10"/>
  <c r="G7" i="7"/>
  <c r="AE68" i="1"/>
  <c r="AE71" i="1"/>
  <c r="AE72" i="1" s="1"/>
  <c r="G10" i="10" s="1"/>
  <c r="AE67" i="1"/>
  <c r="G15" i="10" s="1"/>
  <c r="AE66" i="1"/>
  <c r="AE51" i="1" s="1"/>
  <c r="K28" i="11"/>
  <c r="K29" i="11" s="1"/>
  <c r="K31" i="11" s="1"/>
  <c r="D18" i="2"/>
  <c r="D15" i="7"/>
  <c r="F35" i="7"/>
  <c r="F10" i="13"/>
  <c r="D24" i="13"/>
  <c r="D25" i="13" s="1"/>
  <c r="H36" i="13"/>
  <c r="F10" i="7"/>
  <c r="F39" i="10" s="1"/>
  <c r="AD69" i="1"/>
  <c r="C15" i="7"/>
  <c r="G19" i="7"/>
  <c r="AF45" i="1"/>
  <c r="H18" i="10" s="1"/>
  <c r="B39" i="2"/>
  <c r="C38" i="2"/>
  <c r="G15" i="13"/>
  <c r="F18" i="13"/>
  <c r="F11" i="7"/>
  <c r="G16" i="10"/>
  <c r="F16" i="10"/>
  <c r="E11" i="13"/>
  <c r="E12" i="7"/>
  <c r="AG34" i="1" l="1"/>
  <c r="AG37" i="1"/>
  <c r="AI3" i="20"/>
  <c r="AH8" i="20"/>
  <c r="AH29" i="1"/>
  <c r="G37" i="10"/>
  <c r="G24" i="7"/>
  <c r="G23" i="10"/>
  <c r="B40" i="2"/>
  <c r="C39" i="2"/>
  <c r="G35" i="7"/>
  <c r="G11" i="7"/>
  <c r="E24" i="13"/>
  <c r="E25" i="13" s="1"/>
  <c r="E14" i="7"/>
  <c r="I36" i="13"/>
  <c r="K34" i="5"/>
  <c r="K37" i="5" s="1"/>
  <c r="K39" i="5" s="1"/>
  <c r="L33" i="8"/>
  <c r="E18" i="2"/>
  <c r="G10" i="7"/>
  <c r="G39" i="10" s="1"/>
  <c r="AE69" i="1"/>
  <c r="G8" i="7"/>
  <c r="H19" i="7"/>
  <c r="AG45" i="1"/>
  <c r="I18" i="10" s="1"/>
  <c r="G12" i="10"/>
  <c r="H15" i="13"/>
  <c r="G18" i="13"/>
  <c r="F11" i="13"/>
  <c r="F12" i="7"/>
  <c r="H7" i="7"/>
  <c r="H8" i="7" s="1"/>
  <c r="AF71" i="1"/>
  <c r="AF72" i="1" s="1"/>
  <c r="H10" i="10" s="1"/>
  <c r="H12" i="10" s="1"/>
  <c r="AF67" i="1"/>
  <c r="H15" i="10" s="1"/>
  <c r="AF66" i="1"/>
  <c r="AF51" i="1" s="1"/>
  <c r="H23" i="10" s="1"/>
  <c r="AF68" i="1"/>
  <c r="AH34" i="1" l="1"/>
  <c r="AH37" i="1"/>
  <c r="AJ3" i="20"/>
  <c r="AI8" i="20"/>
  <c r="AI29" i="1"/>
  <c r="H24" i="7"/>
  <c r="H11" i="7"/>
  <c r="H18" i="13"/>
  <c r="I15" i="13"/>
  <c r="H10" i="7"/>
  <c r="H39" i="10" s="1"/>
  <c r="AF69" i="1"/>
  <c r="G11" i="13"/>
  <c r="G12" i="7"/>
  <c r="G24" i="13" s="1"/>
  <c r="G25" i="13" s="1"/>
  <c r="J36" i="13"/>
  <c r="E15" i="7"/>
  <c r="B41" i="2"/>
  <c r="C40" i="2"/>
  <c r="H35" i="7"/>
  <c r="H16" i="10"/>
  <c r="I7" i="7"/>
  <c r="I8" i="7" s="1"/>
  <c r="AG71" i="1"/>
  <c r="AG72" i="1" s="1"/>
  <c r="I10" i="10" s="1"/>
  <c r="I12" i="10" s="1"/>
  <c r="AG67" i="1"/>
  <c r="I15" i="10" s="1"/>
  <c r="AG66" i="1"/>
  <c r="AG51" i="1" s="1"/>
  <c r="AG68" i="1"/>
  <c r="F24" i="13"/>
  <c r="F25" i="13" s="1"/>
  <c r="F14" i="7"/>
  <c r="I19" i="7"/>
  <c r="AH45" i="1"/>
  <c r="J18" i="10" s="1"/>
  <c r="G10" i="13"/>
  <c r="H10" i="13" s="1"/>
  <c r="L34" i="8"/>
  <c r="F19" i="2"/>
  <c r="H37" i="10"/>
  <c r="AK3" i="20" l="1"/>
  <c r="AJ8" i="20"/>
  <c r="AJ29" i="1"/>
  <c r="AI34" i="1"/>
  <c r="AI37" i="1"/>
  <c r="G14" i="7"/>
  <c r="G15" i="7" s="1"/>
  <c r="I24" i="7"/>
  <c r="I37" i="10"/>
  <c r="I23" i="10"/>
  <c r="I11" i="7"/>
  <c r="I10" i="13"/>
  <c r="J7" i="7"/>
  <c r="J8" i="7" s="1"/>
  <c r="AH71" i="1"/>
  <c r="AH72" i="1" s="1"/>
  <c r="J10" i="10" s="1"/>
  <c r="J12" i="10" s="1"/>
  <c r="AH67" i="1"/>
  <c r="J15" i="10" s="1"/>
  <c r="AH66" i="1"/>
  <c r="AH51" i="1" s="1"/>
  <c r="AH68" i="1"/>
  <c r="C41" i="2"/>
  <c r="B42" i="2"/>
  <c r="H11" i="13"/>
  <c r="H12" i="7"/>
  <c r="I18" i="13"/>
  <c r="J15" i="13"/>
  <c r="L28" i="11"/>
  <c r="L29" i="11" s="1"/>
  <c r="L31" i="11" s="1"/>
  <c r="D19" i="2"/>
  <c r="I16" i="10"/>
  <c r="F15" i="7"/>
  <c r="I35" i="7"/>
  <c r="J19" i="7"/>
  <c r="AI45" i="1"/>
  <c r="K18" i="10" s="1"/>
  <c r="I10" i="7"/>
  <c r="AG69" i="1"/>
  <c r="K36" i="13"/>
  <c r="AJ37" i="1" l="1"/>
  <c r="AJ34" i="1"/>
  <c r="AK8" i="20"/>
  <c r="AK29" i="1"/>
  <c r="J37" i="10"/>
  <c r="J24" i="7"/>
  <c r="J23" i="10"/>
  <c r="J10" i="13"/>
  <c r="K15" i="13"/>
  <c r="J18" i="13"/>
  <c r="B43" i="2"/>
  <c r="C42" i="2"/>
  <c r="J35" i="7"/>
  <c r="J11" i="7"/>
  <c r="M33" i="8"/>
  <c r="L34" i="5"/>
  <c r="L37" i="5" s="1"/>
  <c r="L39" i="5" s="1"/>
  <c r="E19" i="2"/>
  <c r="H24" i="13"/>
  <c r="H25" i="13" s="1"/>
  <c r="H14" i="7"/>
  <c r="J10" i="7"/>
  <c r="J39" i="10" s="1"/>
  <c r="AH69" i="1"/>
  <c r="J16" i="10"/>
  <c r="K19" i="7"/>
  <c r="AJ45" i="1"/>
  <c r="I11" i="13"/>
  <c r="I12" i="7"/>
  <c r="L36" i="13"/>
  <c r="I39" i="10"/>
  <c r="K7" i="7"/>
  <c r="K8" i="7" s="1"/>
  <c r="AI68" i="1"/>
  <c r="K16" i="10" s="1"/>
  <c r="AI71" i="1"/>
  <c r="AI72" i="1" s="1"/>
  <c r="K10" i="10" s="1"/>
  <c r="K12" i="10" s="1"/>
  <c r="AI66" i="1"/>
  <c r="AI51" i="1" s="1"/>
  <c r="AI67" i="1"/>
  <c r="AK37" i="1" l="1"/>
  <c r="AK34" i="1"/>
  <c r="K24" i="7"/>
  <c r="K23" i="10"/>
  <c r="L19" i="7"/>
  <c r="AK45" i="1"/>
  <c r="M19" i="7" s="1"/>
  <c r="H15" i="7"/>
  <c r="L7" i="7"/>
  <c r="L8" i="7" s="1"/>
  <c r="AJ71" i="1"/>
  <c r="AJ72" i="1" s="1"/>
  <c r="L10" i="10" s="1"/>
  <c r="L12" i="10" s="1"/>
  <c r="AJ68" i="1"/>
  <c r="L16" i="10" s="1"/>
  <c r="AJ67" i="1"/>
  <c r="L15" i="10" s="1"/>
  <c r="AJ66" i="1"/>
  <c r="AJ51" i="1" s="1"/>
  <c r="I24" i="13"/>
  <c r="I25" i="13" s="1"/>
  <c r="I14" i="7"/>
  <c r="J11" i="13"/>
  <c r="J12" i="7"/>
  <c r="M34" i="8"/>
  <c r="F20" i="2"/>
  <c r="K35" i="7"/>
  <c r="K10" i="7"/>
  <c r="AI69" i="1"/>
  <c r="K11" i="7"/>
  <c r="M36" i="13"/>
  <c r="L18" i="10"/>
  <c r="K15" i="10"/>
  <c r="K10" i="13"/>
  <c r="K37" i="10"/>
  <c r="B44" i="2"/>
  <c r="C43" i="2"/>
  <c r="L15" i="13"/>
  <c r="K18" i="13"/>
  <c r="L24" i="7" l="1"/>
  <c r="L23" i="10"/>
  <c r="M18" i="10"/>
  <c r="N18" i="10"/>
  <c r="L18" i="13"/>
  <c r="M15" i="13"/>
  <c r="M18" i="13" s="1"/>
  <c r="M28" i="11"/>
  <c r="M29" i="11" s="1"/>
  <c r="M31" i="11" s="1"/>
  <c r="D20" i="2"/>
  <c r="L11" i="7"/>
  <c r="L35" i="7"/>
  <c r="B45" i="2"/>
  <c r="C44" i="2"/>
  <c r="J24" i="13"/>
  <c r="J25" i="13" s="1"/>
  <c r="J14" i="7"/>
  <c r="I15" i="7"/>
  <c r="L10" i="7"/>
  <c r="L39" i="10" s="1"/>
  <c r="AJ69" i="1"/>
  <c r="L10" i="13"/>
  <c r="K11" i="13"/>
  <c r="K12" i="7"/>
  <c r="L37" i="10"/>
  <c r="K39" i="10"/>
  <c r="M7" i="7"/>
  <c r="AK71" i="1"/>
  <c r="AK72" i="1" s="1"/>
  <c r="M10" i="10" s="1"/>
  <c r="AK67" i="1"/>
  <c r="AK66" i="1"/>
  <c r="AK68" i="1"/>
  <c r="M11" i="7" s="1"/>
  <c r="N19" i="7"/>
  <c r="D14" i="15" s="1"/>
  <c r="M35" i="7" l="1"/>
  <c r="AK51" i="1"/>
  <c r="N11" i="7"/>
  <c r="D7" i="15" s="1"/>
  <c r="N35" i="7"/>
  <c r="M10" i="7"/>
  <c r="M39" i="10" s="1"/>
  <c r="AK69" i="1"/>
  <c r="M16" i="10"/>
  <c r="N16" i="10" s="1"/>
  <c r="M12" i="10"/>
  <c r="N10" i="10"/>
  <c r="M8" i="7"/>
  <c r="N7" i="7"/>
  <c r="D3" i="15" s="1"/>
  <c r="K24" i="13"/>
  <c r="K25" i="13" s="1"/>
  <c r="K14" i="7"/>
  <c r="L11" i="13"/>
  <c r="L12" i="7"/>
  <c r="J15" i="7"/>
  <c r="C45" i="2"/>
  <c r="M37" i="10"/>
  <c r="N37" i="10" s="1"/>
  <c r="M15" i="10"/>
  <c r="N15" i="10" s="1"/>
  <c r="N33" i="8"/>
  <c r="M34" i="5"/>
  <c r="E20" i="2"/>
  <c r="M24" i="7" l="1"/>
  <c r="N24" i="7" s="1"/>
  <c r="D19" i="15" s="1"/>
  <c r="D29" i="15" s="1"/>
  <c r="F10" i="19" s="1"/>
  <c r="M23" i="10"/>
  <c r="N23" i="10" s="1"/>
  <c r="M10" i="13"/>
  <c r="N8" i="7"/>
  <c r="M37" i="5"/>
  <c r="N34" i="5"/>
  <c r="K15" i="7"/>
  <c r="O33" i="8"/>
  <c r="L24" i="13"/>
  <c r="L25" i="13" s="1"/>
  <c r="L14" i="7"/>
  <c r="N12" i="10"/>
  <c r="M11" i="13"/>
  <c r="M12" i="7"/>
  <c r="M14" i="7" s="1"/>
  <c r="N10" i="7"/>
  <c r="D6" i="15" s="1"/>
  <c r="D8" i="15" s="1"/>
  <c r="F8" i="19" s="1"/>
  <c r="N34" i="8"/>
  <c r="O34" i="8" s="1"/>
  <c r="F21" i="2"/>
  <c r="N39" i="10"/>
  <c r="F7" i="19"/>
  <c r="L7" i="19"/>
  <c r="D4" i="15"/>
  <c r="N14" i="7" l="1"/>
  <c r="N15" i="7" s="1"/>
  <c r="M15" i="7"/>
  <c r="G8" i="19"/>
  <c r="G7" i="19"/>
  <c r="F9" i="19"/>
  <c r="G10" i="19"/>
  <c r="D10" i="15"/>
  <c r="M24" i="13"/>
  <c r="M25" i="13" s="1"/>
  <c r="N12" i="7"/>
  <c r="N37" i="5"/>
  <c r="M39" i="5"/>
  <c r="N28" i="11"/>
  <c r="N29" i="11" s="1"/>
  <c r="N31" i="11" s="1"/>
  <c r="D21" i="2"/>
  <c r="L15" i="7"/>
  <c r="B33" i="9" l="1"/>
  <c r="B34" i="6"/>
  <c r="E21" i="2"/>
  <c r="G9" i="19"/>
  <c r="L8" i="19"/>
  <c r="N39" i="5"/>
  <c r="J10" i="19" l="1"/>
  <c r="B31" i="15"/>
  <c r="N41" i="5"/>
  <c r="B37" i="6"/>
  <c r="B34" i="9"/>
  <c r="F22" i="2"/>
  <c r="B28" i="12" l="1"/>
  <c r="B29" i="12" s="1"/>
  <c r="B31" i="12" s="1"/>
  <c r="D22" i="2"/>
  <c r="B33" i="15"/>
  <c r="J41" i="5"/>
  <c r="F41" i="5"/>
  <c r="B41" i="5"/>
  <c r="L41" i="5"/>
  <c r="H41" i="5"/>
  <c r="D41" i="5"/>
  <c r="G41" i="5"/>
  <c r="M41" i="5"/>
  <c r="E41" i="5"/>
  <c r="K41" i="5"/>
  <c r="C41" i="5"/>
  <c r="I41" i="5"/>
  <c r="B39" i="6"/>
  <c r="J38" i="8" l="1"/>
  <c r="J40" i="8" s="1"/>
  <c r="J42" i="8" s="1"/>
  <c r="I43" i="5"/>
  <c r="I101" i="16" s="1"/>
  <c r="N38" i="8"/>
  <c r="N40" i="8" s="1"/>
  <c r="N42" i="8" s="1"/>
  <c r="M43" i="5"/>
  <c r="M101" i="16" s="1"/>
  <c r="M38" i="8"/>
  <c r="M40" i="8" s="1"/>
  <c r="M42" i="8" s="1"/>
  <c r="L43" i="5"/>
  <c r="L101" i="16" s="1"/>
  <c r="D38" i="8"/>
  <c r="D40" i="8" s="1"/>
  <c r="D42" i="8" s="1"/>
  <c r="C43" i="5"/>
  <c r="C101" i="16" s="1"/>
  <c r="H38" i="8"/>
  <c r="H40" i="8" s="1"/>
  <c r="H42" i="8" s="1"/>
  <c r="G43" i="5"/>
  <c r="G101" i="16" s="1"/>
  <c r="C38" i="8"/>
  <c r="B43" i="5"/>
  <c r="L38" i="8"/>
  <c r="L40" i="8" s="1"/>
  <c r="L42" i="8" s="1"/>
  <c r="K43" i="5"/>
  <c r="K101" i="16" s="1"/>
  <c r="E38" i="8"/>
  <c r="E40" i="8" s="1"/>
  <c r="E42" i="8" s="1"/>
  <c r="D43" i="5"/>
  <c r="D101" i="16" s="1"/>
  <c r="G38" i="8"/>
  <c r="G40" i="8" s="1"/>
  <c r="G42" i="8" s="1"/>
  <c r="F43" i="5"/>
  <c r="F101" i="16" s="1"/>
  <c r="C33" i="9"/>
  <c r="C34" i="6"/>
  <c r="E22" i="2"/>
  <c r="F38" i="8"/>
  <c r="F40" i="8" s="1"/>
  <c r="F42" i="8" s="1"/>
  <c r="E43" i="5"/>
  <c r="E101" i="16" s="1"/>
  <c r="I38" i="8"/>
  <c r="I40" i="8" s="1"/>
  <c r="I42" i="8" s="1"/>
  <c r="H43" i="5"/>
  <c r="H101" i="16" s="1"/>
  <c r="K38" i="8"/>
  <c r="K40" i="8" s="1"/>
  <c r="K42" i="8" s="1"/>
  <c r="J43" i="5"/>
  <c r="J101" i="16" s="1"/>
  <c r="C34" i="9" l="1"/>
  <c r="F23" i="2"/>
  <c r="C37" i="6"/>
  <c r="B101" i="16"/>
  <c r="N43" i="5"/>
  <c r="B35" i="15" s="1"/>
  <c r="B11" i="19" s="1"/>
  <c r="C37" i="11"/>
  <c r="O38" i="8"/>
  <c r="C40" i="8"/>
  <c r="D37" i="11" l="1"/>
  <c r="C38" i="11"/>
  <c r="C40" i="11" s="1"/>
  <c r="C39" i="6"/>
  <c r="C42" i="8"/>
  <c r="O40" i="8"/>
  <c r="J9" i="19"/>
  <c r="C11" i="19"/>
  <c r="C28" i="12"/>
  <c r="C29" i="12" s="1"/>
  <c r="C31" i="12" s="1"/>
  <c r="D23" i="2"/>
  <c r="D33" i="9" l="1"/>
  <c r="D34" i="6"/>
  <c r="E23" i="2"/>
  <c r="D7" i="8"/>
  <c r="O42" i="8"/>
  <c r="C9" i="11"/>
  <c r="C12" i="11" s="1"/>
  <c r="C20" i="11" s="1"/>
  <c r="C44" i="8"/>
  <c r="D44" i="8" s="1"/>
  <c r="E44" i="8" s="1"/>
  <c r="F44" i="8" s="1"/>
  <c r="G44" i="8" s="1"/>
  <c r="H44" i="8" s="1"/>
  <c r="I44" i="8" s="1"/>
  <c r="J44" i="8" s="1"/>
  <c r="K44" i="8" s="1"/>
  <c r="L44" i="8" s="1"/>
  <c r="M44" i="8" s="1"/>
  <c r="N44" i="8" s="1"/>
  <c r="O44" i="8" s="1"/>
  <c r="E37" i="11"/>
  <c r="D38" i="11"/>
  <c r="D40" i="11" s="1"/>
  <c r="D37" i="6" l="1"/>
  <c r="F37" i="11"/>
  <c r="E38" i="11"/>
  <c r="E40" i="11" s="1"/>
  <c r="D9" i="11"/>
  <c r="D12" i="11" s="1"/>
  <c r="D20" i="11" s="1"/>
  <c r="E7" i="8"/>
  <c r="D34" i="9"/>
  <c r="F24" i="2"/>
  <c r="E9" i="11" l="1"/>
  <c r="E12" i="11" s="1"/>
  <c r="E20" i="11" s="1"/>
  <c r="F7" i="8"/>
  <c r="D28" i="12"/>
  <c r="D29" i="12" s="1"/>
  <c r="D31" i="12" s="1"/>
  <c r="D24" i="2"/>
  <c r="G37" i="11"/>
  <c r="F38" i="11"/>
  <c r="F40" i="11" s="1"/>
  <c r="D39" i="6"/>
  <c r="E33" i="9" l="1"/>
  <c r="E34" i="6"/>
  <c r="E24" i="2"/>
  <c r="H37" i="11"/>
  <c r="G38" i="11"/>
  <c r="G40" i="11" s="1"/>
  <c r="F9" i="11"/>
  <c r="F12" i="11" s="1"/>
  <c r="F20" i="11" s="1"/>
  <c r="G7" i="8"/>
  <c r="I37" i="11" l="1"/>
  <c r="H38" i="11"/>
  <c r="H40" i="11" s="1"/>
  <c r="H7" i="8"/>
  <c r="G9" i="11"/>
  <c r="G12" i="11" s="1"/>
  <c r="G20" i="11" s="1"/>
  <c r="E34" i="9"/>
  <c r="F25" i="2"/>
  <c r="E37" i="6"/>
  <c r="E39" i="6" l="1"/>
  <c r="H9" i="11"/>
  <c r="H12" i="11" s="1"/>
  <c r="H20" i="11" s="1"/>
  <c r="I7" i="8"/>
  <c r="E28" i="12"/>
  <c r="E29" i="12" s="1"/>
  <c r="E31" i="12" s="1"/>
  <c r="D25" i="2"/>
  <c r="J37" i="11"/>
  <c r="I38" i="11"/>
  <c r="I40" i="11" s="1"/>
  <c r="F33" i="9" l="1"/>
  <c r="F34" i="6"/>
  <c r="E25" i="2"/>
  <c r="K37" i="11"/>
  <c r="J38" i="11"/>
  <c r="J40" i="11" s="1"/>
  <c r="I9" i="11"/>
  <c r="I12" i="11" s="1"/>
  <c r="I20" i="11" s="1"/>
  <c r="J7" i="8"/>
  <c r="L37" i="11" l="1"/>
  <c r="K38" i="11"/>
  <c r="K40" i="11" s="1"/>
  <c r="J9" i="11"/>
  <c r="J12" i="11" s="1"/>
  <c r="J20" i="11" s="1"/>
  <c r="K7" i="8"/>
  <c r="F34" i="9"/>
  <c r="F26" i="2"/>
  <c r="F37" i="6"/>
  <c r="K9" i="11" l="1"/>
  <c r="K12" i="11" s="1"/>
  <c r="K20" i="11" s="1"/>
  <c r="L7" i="8"/>
  <c r="F39" i="6"/>
  <c r="F28" i="12"/>
  <c r="F29" i="12" s="1"/>
  <c r="F31" i="12" s="1"/>
  <c r="D26" i="2"/>
  <c r="M37" i="11"/>
  <c r="L38" i="11"/>
  <c r="L40" i="11" s="1"/>
  <c r="N37" i="11" l="1"/>
  <c r="M38" i="11"/>
  <c r="M40" i="11" s="1"/>
  <c r="G34" i="6"/>
  <c r="G37" i="6" s="1"/>
  <c r="G39" i="6" s="1"/>
  <c r="G33" i="9"/>
  <c r="E26" i="2"/>
  <c r="L9" i="11"/>
  <c r="L12" i="11" s="1"/>
  <c r="L20" i="11" s="1"/>
  <c r="M7" i="8"/>
  <c r="G34" i="9" l="1"/>
  <c r="F27" i="2"/>
  <c r="M9" i="11"/>
  <c r="M12" i="11" s="1"/>
  <c r="M20" i="11" s="1"/>
  <c r="N7" i="8"/>
  <c r="N38" i="11"/>
  <c r="N40" i="11" s="1"/>
  <c r="G28" i="12" l="1"/>
  <c r="G29" i="12" s="1"/>
  <c r="G31" i="12" s="1"/>
  <c r="D27" i="2"/>
  <c r="N9" i="11"/>
  <c r="N12" i="11" s="1"/>
  <c r="N20" i="11" s="1"/>
  <c r="O7" i="8"/>
  <c r="B7" i="9"/>
  <c r="H33" i="9" l="1"/>
  <c r="H34" i="6"/>
  <c r="H37" i="6" s="1"/>
  <c r="H39" i="6" s="1"/>
  <c r="E27" i="2"/>
  <c r="H34" i="9" l="1"/>
  <c r="F28" i="2"/>
  <c r="H28" i="12" l="1"/>
  <c r="H29" i="12" s="1"/>
  <c r="H31" i="12" s="1"/>
  <c r="D28" i="2"/>
  <c r="I33" i="9" l="1"/>
  <c r="I34" i="6"/>
  <c r="I37" i="6" s="1"/>
  <c r="I39" i="6" s="1"/>
  <c r="E28" i="2"/>
  <c r="I34" i="9" l="1"/>
  <c r="F29" i="2"/>
  <c r="I28" i="12" l="1"/>
  <c r="I29" i="12" s="1"/>
  <c r="I31" i="12" s="1"/>
  <c r="D29" i="2"/>
  <c r="J34" i="6" l="1"/>
  <c r="J37" i="6" s="1"/>
  <c r="J39" i="6" s="1"/>
  <c r="J33" i="9"/>
  <c r="E29" i="2"/>
  <c r="J34" i="9" l="1"/>
  <c r="F30" i="2"/>
  <c r="J28" i="12" l="1"/>
  <c r="J29" i="12" s="1"/>
  <c r="J31" i="12" s="1"/>
  <c r="D30" i="2"/>
  <c r="K33" i="9" l="1"/>
  <c r="K34" i="6"/>
  <c r="K37" i="6" s="1"/>
  <c r="K39" i="6" s="1"/>
  <c r="E30" i="2"/>
  <c r="K34" i="9" l="1"/>
  <c r="F31" i="2"/>
  <c r="K28" i="12" l="1"/>
  <c r="K29" i="12" s="1"/>
  <c r="K31" i="12" s="1"/>
  <c r="D31" i="2"/>
  <c r="L33" i="9" l="1"/>
  <c r="L34" i="6"/>
  <c r="L37" i="6" s="1"/>
  <c r="L39" i="6" s="1"/>
  <c r="E31" i="2"/>
  <c r="L34" i="9" l="1"/>
  <c r="F32" i="2"/>
  <c r="L28" i="12" l="1"/>
  <c r="L29" i="12" s="1"/>
  <c r="L31" i="12" s="1"/>
  <c r="D32" i="2"/>
  <c r="M33" i="9" l="1"/>
  <c r="M34" i="6"/>
  <c r="E32" i="2"/>
  <c r="M37" i="6" l="1"/>
  <c r="N34" i="6"/>
  <c r="M34" i="9"/>
  <c r="N34" i="9" s="1"/>
  <c r="F33" i="2"/>
  <c r="N33" i="9"/>
  <c r="M28" i="12" l="1"/>
  <c r="M29" i="12" s="1"/>
  <c r="M31" i="12" s="1"/>
  <c r="D33" i="2"/>
  <c r="M39" i="6"/>
  <c r="N37" i="6"/>
  <c r="B33" i="10" l="1"/>
  <c r="B34" i="7"/>
  <c r="E33" i="2"/>
  <c r="N39" i="6"/>
  <c r="B34" i="10" l="1"/>
  <c r="F34" i="2"/>
  <c r="B37" i="7"/>
  <c r="K10" i="19"/>
  <c r="C31" i="15"/>
  <c r="N41" i="6"/>
  <c r="C33" i="15" l="1"/>
  <c r="K41" i="6"/>
  <c r="G41" i="6"/>
  <c r="C41" i="6"/>
  <c r="I41" i="6"/>
  <c r="D41" i="6"/>
  <c r="L41" i="6"/>
  <c r="F41" i="6"/>
  <c r="E41" i="6"/>
  <c r="M41" i="6"/>
  <c r="B41" i="6"/>
  <c r="J41" i="6"/>
  <c r="H41" i="6"/>
  <c r="B28" i="13"/>
  <c r="B29" i="13" s="1"/>
  <c r="B31" i="13" s="1"/>
  <c r="D34" i="2"/>
  <c r="B39" i="7"/>
  <c r="F38" i="9" l="1"/>
  <c r="F40" i="9" s="1"/>
  <c r="F42" i="9" s="1"/>
  <c r="F43" i="6"/>
  <c r="R101" i="16" s="1"/>
  <c r="C38" i="9"/>
  <c r="C40" i="9" s="1"/>
  <c r="C42" i="9" s="1"/>
  <c r="C43" i="6"/>
  <c r="O101" i="16" s="1"/>
  <c r="B38" i="9"/>
  <c r="B43" i="6"/>
  <c r="G38" i="9"/>
  <c r="G40" i="9" s="1"/>
  <c r="G42" i="9" s="1"/>
  <c r="G43" i="6"/>
  <c r="S101" i="16" s="1"/>
  <c r="M38" i="9"/>
  <c r="M40" i="9" s="1"/>
  <c r="M42" i="9" s="1"/>
  <c r="M43" i="6"/>
  <c r="Y101" i="16" s="1"/>
  <c r="D38" i="9"/>
  <c r="D40" i="9" s="1"/>
  <c r="D42" i="9" s="1"/>
  <c r="D43" i="6"/>
  <c r="P101" i="16" s="1"/>
  <c r="K38" i="9"/>
  <c r="K40" i="9" s="1"/>
  <c r="K42" i="9" s="1"/>
  <c r="K43" i="6"/>
  <c r="W101" i="16" s="1"/>
  <c r="J38" i="9"/>
  <c r="J40" i="9" s="1"/>
  <c r="J42" i="9" s="1"/>
  <c r="J43" i="6"/>
  <c r="V101" i="16" s="1"/>
  <c r="C33" i="10"/>
  <c r="C34" i="7"/>
  <c r="E34" i="2"/>
  <c r="L38" i="9"/>
  <c r="L40" i="9" s="1"/>
  <c r="L42" i="9" s="1"/>
  <c r="L43" i="6"/>
  <c r="X101" i="16" s="1"/>
  <c r="H38" i="9"/>
  <c r="H40" i="9" s="1"/>
  <c r="H42" i="9" s="1"/>
  <c r="H43" i="6"/>
  <c r="T101" i="16" s="1"/>
  <c r="E38" i="9"/>
  <c r="E40" i="9" s="1"/>
  <c r="E42" i="9" s="1"/>
  <c r="E43" i="6"/>
  <c r="Q101" i="16" s="1"/>
  <c r="I38" i="9"/>
  <c r="I40" i="9" s="1"/>
  <c r="I42" i="9" s="1"/>
  <c r="I43" i="6"/>
  <c r="U101" i="16" s="1"/>
  <c r="C37" i="7" l="1"/>
  <c r="N101" i="16"/>
  <c r="N43" i="6"/>
  <c r="C35" i="15" s="1"/>
  <c r="D11" i="19" s="1"/>
  <c r="B37" i="12"/>
  <c r="C34" i="10"/>
  <c r="F35" i="2"/>
  <c r="N38" i="9"/>
  <c r="B40" i="9"/>
  <c r="K9" i="19" l="1"/>
  <c r="E11" i="19"/>
  <c r="N40" i="9"/>
  <c r="B42" i="9"/>
  <c r="C28" i="13"/>
  <c r="C29" i="13" s="1"/>
  <c r="C31" i="13" s="1"/>
  <c r="D35" i="2"/>
  <c r="C37" i="12"/>
  <c r="B38" i="12"/>
  <c r="B40" i="12" s="1"/>
  <c r="C39" i="7"/>
  <c r="N42" i="9" l="1"/>
  <c r="B44" i="9"/>
  <c r="C44" i="9" s="1"/>
  <c r="D44" i="9" s="1"/>
  <c r="E44" i="9" s="1"/>
  <c r="F44" i="9" s="1"/>
  <c r="G44" i="9" s="1"/>
  <c r="H44" i="9" s="1"/>
  <c r="I44" i="9" s="1"/>
  <c r="J44" i="9" s="1"/>
  <c r="K44" i="9" s="1"/>
  <c r="L44" i="9" s="1"/>
  <c r="M44" i="9" s="1"/>
  <c r="N44" i="9" s="1"/>
  <c r="B9" i="12"/>
  <c r="B12" i="12" s="1"/>
  <c r="B20" i="12" s="1"/>
  <c r="C7" i="9"/>
  <c r="D33" i="10"/>
  <c r="D34" i="7"/>
  <c r="E35" i="2"/>
  <c r="D37" i="12"/>
  <c r="C38" i="12"/>
  <c r="C40" i="12" s="1"/>
  <c r="D37" i="7" l="1"/>
  <c r="E37" i="12"/>
  <c r="D38" i="12"/>
  <c r="D40" i="12" s="1"/>
  <c r="C9" i="12"/>
  <c r="C12" i="12" s="1"/>
  <c r="C20" i="12" s="1"/>
  <c r="D7" i="9"/>
  <c r="D34" i="10"/>
  <c r="F36" i="2"/>
  <c r="D9" i="12" l="1"/>
  <c r="D12" i="12" s="1"/>
  <c r="D20" i="12" s="1"/>
  <c r="E7" i="9"/>
  <c r="D28" i="13"/>
  <c r="D29" i="13" s="1"/>
  <c r="D31" i="13" s="1"/>
  <c r="D36" i="2"/>
  <c r="F37" i="12"/>
  <c r="E38" i="12"/>
  <c r="E40" i="12" s="1"/>
  <c r="D39" i="7"/>
  <c r="E9" i="12" l="1"/>
  <c r="E12" i="12" s="1"/>
  <c r="E20" i="12" s="1"/>
  <c r="F7" i="9"/>
  <c r="E33" i="10"/>
  <c r="E34" i="7"/>
  <c r="E36" i="2"/>
  <c r="G37" i="12"/>
  <c r="F38" i="12"/>
  <c r="F40" i="12" s="1"/>
  <c r="E37" i="7" l="1"/>
  <c r="H37" i="12"/>
  <c r="G38" i="12"/>
  <c r="G40" i="12" s="1"/>
  <c r="F9" i="12"/>
  <c r="F12" i="12" s="1"/>
  <c r="F20" i="12" s="1"/>
  <c r="G7" i="9"/>
  <c r="E34" i="10"/>
  <c r="F37" i="2"/>
  <c r="G9" i="12" l="1"/>
  <c r="G12" i="12" s="1"/>
  <c r="G20" i="12" s="1"/>
  <c r="H7" i="9"/>
  <c r="E28" i="13"/>
  <c r="E29" i="13" s="1"/>
  <c r="E31" i="13" s="1"/>
  <c r="D37" i="2"/>
  <c r="I37" i="12"/>
  <c r="H38" i="12"/>
  <c r="H40" i="12" s="1"/>
  <c r="E39" i="7"/>
  <c r="J37" i="12" l="1"/>
  <c r="I38" i="12"/>
  <c r="I40" i="12" s="1"/>
  <c r="H9" i="12"/>
  <c r="H12" i="12" s="1"/>
  <c r="H20" i="12" s="1"/>
  <c r="I7" i="9"/>
  <c r="F34" i="7"/>
  <c r="F33" i="10"/>
  <c r="E37" i="2"/>
  <c r="I9" i="12" l="1"/>
  <c r="I12" i="12" s="1"/>
  <c r="I20" i="12" s="1"/>
  <c r="J7" i="9"/>
  <c r="F37" i="7"/>
  <c r="F34" i="10"/>
  <c r="F38" i="2"/>
  <c r="K37" i="12"/>
  <c r="J38" i="12"/>
  <c r="J40" i="12" s="1"/>
  <c r="F39" i="7" l="1"/>
  <c r="J9" i="12"/>
  <c r="J12" i="12" s="1"/>
  <c r="J20" i="12" s="1"/>
  <c r="K7" i="9"/>
  <c r="F28" i="13"/>
  <c r="F29" i="13" s="1"/>
  <c r="F31" i="13" s="1"/>
  <c r="D38" i="2"/>
  <c r="L37" i="12"/>
  <c r="K38" i="12"/>
  <c r="K40" i="12" s="1"/>
  <c r="G33" i="10" l="1"/>
  <c r="G34" i="7"/>
  <c r="G37" i="7" s="1"/>
  <c r="G39" i="7" s="1"/>
  <c r="E38" i="2"/>
  <c r="M37" i="12"/>
  <c r="L38" i="12"/>
  <c r="L40" i="12" s="1"/>
  <c r="K9" i="12"/>
  <c r="K12" i="12" s="1"/>
  <c r="K20" i="12" s="1"/>
  <c r="L7" i="9"/>
  <c r="M38" i="12" l="1"/>
  <c r="M40" i="12" s="1"/>
  <c r="L9" i="12"/>
  <c r="L12" i="12" s="1"/>
  <c r="L20" i="12" s="1"/>
  <c r="M7" i="9"/>
  <c r="G34" i="10"/>
  <c r="F39" i="2"/>
  <c r="G28" i="13" l="1"/>
  <c r="G29" i="13" s="1"/>
  <c r="G31" i="13" s="1"/>
  <c r="D39" i="2"/>
  <c r="M9" i="12"/>
  <c r="M12" i="12" s="1"/>
  <c r="M20" i="12" s="1"/>
  <c r="B7" i="10"/>
  <c r="N7" i="9"/>
  <c r="H33" i="10" l="1"/>
  <c r="H34" i="7"/>
  <c r="H37" i="7" s="1"/>
  <c r="H39" i="7" s="1"/>
  <c r="E39" i="2"/>
  <c r="H34" i="10" l="1"/>
  <c r="F40" i="2"/>
  <c r="H28" i="13" l="1"/>
  <c r="H29" i="13" s="1"/>
  <c r="H31" i="13" s="1"/>
  <c r="D40" i="2"/>
  <c r="I33" i="10" l="1"/>
  <c r="I34" i="7"/>
  <c r="I37" i="7" s="1"/>
  <c r="I39" i="7" s="1"/>
  <c r="E40" i="2"/>
  <c r="I34" i="10" l="1"/>
  <c r="F41" i="2"/>
  <c r="I28" i="13" l="1"/>
  <c r="I29" i="13" s="1"/>
  <c r="I31" i="13" s="1"/>
  <c r="D41" i="2"/>
  <c r="J33" i="10" l="1"/>
  <c r="J34" i="7"/>
  <c r="J37" i="7" s="1"/>
  <c r="J39" i="7" s="1"/>
  <c r="E41" i="2"/>
  <c r="J34" i="10" l="1"/>
  <c r="F42" i="2"/>
  <c r="J28" i="13" l="1"/>
  <c r="J29" i="13" s="1"/>
  <c r="J31" i="13" s="1"/>
  <c r="D42" i="2"/>
  <c r="K33" i="10" l="1"/>
  <c r="K34" i="7"/>
  <c r="K37" i="7" s="1"/>
  <c r="K39" i="7" s="1"/>
  <c r="E42" i="2"/>
  <c r="K34" i="10" l="1"/>
  <c r="F43" i="2"/>
  <c r="K28" i="13" l="1"/>
  <c r="K29" i="13" s="1"/>
  <c r="K31" i="13" s="1"/>
  <c r="D43" i="2"/>
  <c r="L33" i="10" l="1"/>
  <c r="L34" i="7"/>
  <c r="L37" i="7" s="1"/>
  <c r="L39" i="7" s="1"/>
  <c r="E43" i="2"/>
  <c r="L34" i="10" l="1"/>
  <c r="F44" i="2"/>
  <c r="L28" i="13" l="1"/>
  <c r="L29" i="13" s="1"/>
  <c r="L31" i="13" s="1"/>
  <c r="D44" i="2"/>
  <c r="M33" i="10" l="1"/>
  <c r="M34" i="7"/>
  <c r="E44" i="2"/>
  <c r="N33" i="10" l="1"/>
  <c r="M34" i="10"/>
  <c r="N34" i="10" s="1"/>
  <c r="F45" i="2"/>
  <c r="M37" i="7"/>
  <c r="N34" i="7"/>
  <c r="M28" i="13" l="1"/>
  <c r="M29" i="13" s="1"/>
  <c r="M31" i="13" s="1"/>
  <c r="D45" i="2"/>
  <c r="E45" i="2" s="1"/>
  <c r="M39" i="7"/>
  <c r="N37" i="7"/>
  <c r="N39" i="7" l="1"/>
  <c r="L10" i="19" l="1"/>
  <c r="D31" i="15"/>
  <c r="N41" i="7"/>
  <c r="D33" i="15" l="1"/>
  <c r="J41" i="7"/>
  <c r="F41" i="7"/>
  <c r="B41" i="7"/>
  <c r="L41" i="7"/>
  <c r="G41" i="7"/>
  <c r="K41" i="7"/>
  <c r="D41" i="7"/>
  <c r="I41" i="7"/>
  <c r="C41" i="7"/>
  <c r="H41" i="7"/>
  <c r="M41" i="7"/>
  <c r="E41" i="7"/>
  <c r="D38" i="10" l="1"/>
  <c r="D40" i="10" s="1"/>
  <c r="D42" i="10" s="1"/>
  <c r="D43" i="7"/>
  <c r="AB101" i="16" s="1"/>
  <c r="B38" i="10"/>
  <c r="B43" i="7"/>
  <c r="M38" i="10"/>
  <c r="M40" i="10" s="1"/>
  <c r="M42" i="10" s="1"/>
  <c r="M43" i="7"/>
  <c r="AK101" i="16" s="1"/>
  <c r="H38" i="10"/>
  <c r="H40" i="10" s="1"/>
  <c r="H42" i="10" s="1"/>
  <c r="H43" i="7"/>
  <c r="AF101" i="16" s="1"/>
  <c r="K38" i="10"/>
  <c r="K40" i="10" s="1"/>
  <c r="K42" i="10" s="1"/>
  <c r="K43" i="7"/>
  <c r="AI101" i="16" s="1"/>
  <c r="F38" i="10"/>
  <c r="F40" i="10" s="1"/>
  <c r="F42" i="10" s="1"/>
  <c r="F43" i="7"/>
  <c r="AD101" i="16" s="1"/>
  <c r="C38" i="10"/>
  <c r="C40" i="10" s="1"/>
  <c r="C42" i="10" s="1"/>
  <c r="C43" i="7"/>
  <c r="AA101" i="16" s="1"/>
  <c r="G38" i="10"/>
  <c r="G40" i="10" s="1"/>
  <c r="G42" i="10" s="1"/>
  <c r="G43" i="7"/>
  <c r="AE101" i="16" s="1"/>
  <c r="J38" i="10"/>
  <c r="J40" i="10" s="1"/>
  <c r="J42" i="10" s="1"/>
  <c r="J43" i="7"/>
  <c r="AH101" i="16" s="1"/>
  <c r="E38" i="10"/>
  <c r="E40" i="10" s="1"/>
  <c r="E42" i="10" s="1"/>
  <c r="E43" i="7"/>
  <c r="AC101" i="16" s="1"/>
  <c r="I38" i="10"/>
  <c r="I40" i="10" s="1"/>
  <c r="I42" i="10" s="1"/>
  <c r="I43" i="7"/>
  <c r="AG101" i="16" s="1"/>
  <c r="L38" i="10"/>
  <c r="L40" i="10" s="1"/>
  <c r="L42" i="10" s="1"/>
  <c r="L43" i="7"/>
  <c r="AJ101" i="16" s="1"/>
  <c r="Z101" i="16" l="1"/>
  <c r="N43" i="7"/>
  <c r="D35" i="15" s="1"/>
  <c r="F11" i="19" s="1"/>
  <c r="B37" i="13"/>
  <c r="N38" i="10"/>
  <c r="B40" i="10"/>
  <c r="C37" i="13" l="1"/>
  <c r="B38" i="13"/>
  <c r="B40" i="13" s="1"/>
  <c r="G11" i="19"/>
  <c r="L9" i="19"/>
  <c r="N40" i="10"/>
  <c r="B42" i="10"/>
  <c r="B44" i="10" l="1"/>
  <c r="C44" i="10" s="1"/>
  <c r="D44" i="10" s="1"/>
  <c r="E44" i="10" s="1"/>
  <c r="F44" i="10" s="1"/>
  <c r="G44" i="10" s="1"/>
  <c r="H44" i="10" s="1"/>
  <c r="I44" i="10" s="1"/>
  <c r="J44" i="10" s="1"/>
  <c r="K44" i="10" s="1"/>
  <c r="L44" i="10" s="1"/>
  <c r="M44" i="10" s="1"/>
  <c r="N44" i="10" s="1"/>
  <c r="N42" i="10"/>
  <c r="C7" i="10"/>
  <c r="B9" i="13"/>
  <c r="B12" i="13" s="1"/>
  <c r="B20" i="13" s="1"/>
  <c r="D37" i="13"/>
  <c r="C38" i="13"/>
  <c r="C40" i="13" s="1"/>
  <c r="C9" i="13" l="1"/>
  <c r="C12" i="13" s="1"/>
  <c r="C20" i="13" s="1"/>
  <c r="D7" i="10"/>
  <c r="E37" i="13"/>
  <c r="D38" i="13"/>
  <c r="D40" i="13" s="1"/>
  <c r="F37" i="13" l="1"/>
  <c r="E38" i="13"/>
  <c r="E40" i="13" s="1"/>
  <c r="D9" i="13"/>
  <c r="D12" i="13" s="1"/>
  <c r="D20" i="13" s="1"/>
  <c r="E7" i="10"/>
  <c r="E9" i="13" l="1"/>
  <c r="E12" i="13" s="1"/>
  <c r="E20" i="13" s="1"/>
  <c r="F7" i="10"/>
  <c r="G37" i="13"/>
  <c r="F38" i="13"/>
  <c r="F40" i="13" s="1"/>
  <c r="H37" i="13" l="1"/>
  <c r="G38" i="13"/>
  <c r="G40" i="13" s="1"/>
  <c r="F9" i="13"/>
  <c r="F12" i="13" s="1"/>
  <c r="F20" i="13" s="1"/>
  <c r="G7" i="10"/>
  <c r="I37" i="13" l="1"/>
  <c r="H38" i="13"/>
  <c r="H40" i="13" s="1"/>
  <c r="G9" i="13"/>
  <c r="G12" i="13" s="1"/>
  <c r="G20" i="13" s="1"/>
  <c r="H7" i="10"/>
  <c r="H9" i="13" l="1"/>
  <c r="H12" i="13" s="1"/>
  <c r="H20" i="13" s="1"/>
  <c r="I7" i="10"/>
  <c r="J37" i="13"/>
  <c r="I38" i="13"/>
  <c r="I40" i="13" s="1"/>
  <c r="K37" i="13" l="1"/>
  <c r="J38" i="13"/>
  <c r="J40" i="13" s="1"/>
  <c r="I9" i="13"/>
  <c r="I12" i="13" s="1"/>
  <c r="I20" i="13" s="1"/>
  <c r="J7" i="10"/>
  <c r="J9" i="13" l="1"/>
  <c r="J12" i="13" s="1"/>
  <c r="J20" i="13" s="1"/>
  <c r="K7" i="10"/>
  <c r="L37" i="13"/>
  <c r="K38" i="13"/>
  <c r="K40" i="13" s="1"/>
  <c r="M37" i="13" l="1"/>
  <c r="M38" i="13" s="1"/>
  <c r="M40" i="13" s="1"/>
  <c r="L38" i="13"/>
  <c r="L40" i="13" s="1"/>
  <c r="K9" i="13"/>
  <c r="K12" i="13" s="1"/>
  <c r="K20" i="13" s="1"/>
  <c r="L7" i="10"/>
  <c r="L9" i="13" l="1"/>
  <c r="L12" i="13" s="1"/>
  <c r="L20" i="13" s="1"/>
  <c r="M7" i="10"/>
  <c r="M9" i="13" l="1"/>
  <c r="M12" i="13" s="1"/>
  <c r="M20" i="13" s="1"/>
  <c r="N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Hoeksema</author>
  </authors>
  <commentList>
    <comment ref="I10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Adam Hoeksema:</t>
        </r>
        <r>
          <rPr>
            <sz val="9"/>
            <color indexed="81"/>
            <rFont val="Tahoma"/>
            <family val="2"/>
          </rPr>
          <t xml:space="preserve">
 (only show if they have a loan added)</t>
        </r>
      </text>
    </comment>
  </commentList>
</comments>
</file>

<file path=xl/sharedStrings.xml><?xml version="1.0" encoding="utf-8"?>
<sst xmlns="http://schemas.openxmlformats.org/spreadsheetml/2006/main" count="445" uniqueCount="209">
  <si>
    <t>Company Name</t>
  </si>
  <si>
    <t>What percentage of your monthly sales do you typically hold in inventory?</t>
  </si>
  <si>
    <t>What is the dollar value of the inventory you currently have on hand?</t>
  </si>
  <si>
    <t>Sources and Uses</t>
  </si>
  <si>
    <t>Source of Funds</t>
  </si>
  <si>
    <t>What is your current cash balance?</t>
  </si>
  <si>
    <t>Add: Current Loans</t>
  </si>
  <si>
    <t>Add: Proposed Loans</t>
  </si>
  <si>
    <t>Total Sources of Funds</t>
  </si>
  <si>
    <t>Fixed Assets</t>
  </si>
  <si>
    <t>Equipment</t>
  </si>
  <si>
    <t>Value</t>
  </si>
  <si>
    <t>Life Expectancy in Years</t>
  </si>
  <si>
    <t>Salvage Cost</t>
  </si>
  <si>
    <t>Month Purchased</t>
  </si>
  <si>
    <t>Furniture</t>
  </si>
  <si>
    <t>Products</t>
  </si>
  <si>
    <t>Month</t>
  </si>
  <si>
    <t>Owner Draw</t>
  </si>
  <si>
    <t>Operating Expenses</t>
  </si>
  <si>
    <t>Accounting</t>
  </si>
  <si>
    <t>Advertising</t>
  </si>
  <si>
    <t>% Growth</t>
  </si>
  <si>
    <t>Insurance</t>
  </si>
  <si>
    <t>Legal Professional</t>
  </si>
  <si>
    <t>Licenses</t>
  </si>
  <si>
    <t>Maintenance</t>
  </si>
  <si>
    <t>Meals Entertainment</t>
  </si>
  <si>
    <t>Office Supplies</t>
  </si>
  <si>
    <t>Property Tax</t>
  </si>
  <si>
    <t>Rent</t>
  </si>
  <si>
    <t>Telephone</t>
  </si>
  <si>
    <t>Travel</t>
  </si>
  <si>
    <t>Utilities</t>
  </si>
  <si>
    <t>Website</t>
  </si>
  <si>
    <t>Other</t>
  </si>
  <si>
    <t>Miscellaneous Expense %</t>
  </si>
  <si>
    <t>Income Tax %</t>
  </si>
  <si>
    <t>Accounts Payable Terms</t>
  </si>
  <si>
    <t>Monthly Total Sales</t>
  </si>
  <si>
    <t>Monthly Material Cost</t>
  </si>
  <si>
    <t>Monthly Labor Cost</t>
  </si>
  <si>
    <t>Monthly Total COGS</t>
  </si>
  <si>
    <t>Monthly Depreciation</t>
  </si>
  <si>
    <t>Product Sales</t>
  </si>
  <si>
    <t>Bank Loan</t>
  </si>
  <si>
    <t>Loan Amount</t>
  </si>
  <si>
    <t>Length of Loan in Months</t>
  </si>
  <si>
    <t>Interest Rate</t>
  </si>
  <si>
    <t>Month Payments Will Start On</t>
  </si>
  <si>
    <t>Payment Number</t>
  </si>
  <si>
    <t>Total Payment</t>
  </si>
  <si>
    <t>Interest Amount</t>
  </si>
  <si>
    <t>Principal Amount</t>
  </si>
  <si>
    <t>Loan Balance</t>
  </si>
  <si>
    <t>Job Title</t>
  </si>
  <si>
    <t>Annual Salary</t>
  </si>
  <si>
    <t>Employer Taxes</t>
  </si>
  <si>
    <t>Benefits</t>
  </si>
  <si>
    <t>Month Started</t>
  </si>
  <si>
    <t>Month Ending</t>
  </si>
  <si>
    <t># of this Particular Employee</t>
  </si>
  <si>
    <t>Total Salaries</t>
  </si>
  <si>
    <t>Startup Sources and Uses</t>
  </si>
  <si>
    <t>Useful Life</t>
  </si>
  <si>
    <t>Required Starting Cash Balance</t>
  </si>
  <si>
    <t>How much inventory will you start with?</t>
  </si>
  <si>
    <t>Other One Time Startup Costs</t>
  </si>
  <si>
    <t>Total Startup Costs</t>
  </si>
  <si>
    <t>Sources of Funding</t>
  </si>
  <si>
    <t>Personal Investment/Personal Savings</t>
  </si>
  <si>
    <t>Outside Investment</t>
  </si>
  <si>
    <t>Loans</t>
  </si>
  <si>
    <t>Uses of Funding</t>
  </si>
  <si>
    <t>Land</t>
  </si>
  <si>
    <t>Building</t>
  </si>
  <si>
    <t>Starting Inventory</t>
  </si>
  <si>
    <t>Pro Forma Income Statement</t>
  </si>
  <si>
    <t>Year 1</t>
  </si>
  <si>
    <t>Sales:</t>
  </si>
  <si>
    <t>Total Sales</t>
  </si>
  <si>
    <t>Material Cost</t>
  </si>
  <si>
    <t>Labor Cost</t>
  </si>
  <si>
    <t>Cost of Goods Sold</t>
  </si>
  <si>
    <t>Gross Margin</t>
  </si>
  <si>
    <t>Percent</t>
  </si>
  <si>
    <t>Salaries</t>
  </si>
  <si>
    <t>Loan Interest Expense</t>
  </si>
  <si>
    <t>Miscellaneous Expense</t>
  </si>
  <si>
    <t>Depreciation Expense</t>
  </si>
  <si>
    <t>Total Operating Expenses</t>
  </si>
  <si>
    <t>Net Profit</t>
  </si>
  <si>
    <t>Income Tax</t>
  </si>
  <si>
    <t>Net Income</t>
  </si>
  <si>
    <t xml:space="preserve">, </t>
  </si>
  <si>
    <t>Year 2</t>
  </si>
  <si>
    <t>Year 3</t>
  </si>
  <si>
    <t>Cash Flow Statement</t>
  </si>
  <si>
    <t>Cash Balance</t>
  </si>
  <si>
    <t>Cash Receipts</t>
  </si>
  <si>
    <t>Total Cash Receipts</t>
  </si>
  <si>
    <t>Cash Disbursements</t>
  </si>
  <si>
    <t>Material Costs</t>
  </si>
  <si>
    <t>Labor Costs</t>
  </si>
  <si>
    <t>Loan Principal Expense</t>
  </si>
  <si>
    <t>Capital Purchases</t>
  </si>
  <si>
    <t>Miscellaneous</t>
  </si>
  <si>
    <t>Change in Inventory</t>
  </si>
  <si>
    <t>Total Cash Disbursements</t>
  </si>
  <si>
    <t>Net Cash Flow</t>
  </si>
  <si>
    <t>Cumulative Cash Flow</t>
  </si>
  <si>
    <t>Balance Sheet</t>
  </si>
  <si>
    <t>Months</t>
  </si>
  <si>
    <t>Assets:</t>
  </si>
  <si>
    <t>Current Assets:</t>
  </si>
  <si>
    <t>Cash</t>
  </si>
  <si>
    <t>Accounts Receivable</t>
  </si>
  <si>
    <t>Inventory</t>
  </si>
  <si>
    <t>Total Current Assets</t>
  </si>
  <si>
    <t>Fixed Assets:</t>
  </si>
  <si>
    <t>Accumulated Depreciation</t>
  </si>
  <si>
    <t>Total Fixed Assets Net</t>
  </si>
  <si>
    <t>Total Assets</t>
  </si>
  <si>
    <t>Liabilities and Equity</t>
  </si>
  <si>
    <t>Current Liabilities:</t>
  </si>
  <si>
    <t>Accounts Payable</t>
  </si>
  <si>
    <t>Total Current Liabilities</t>
  </si>
  <si>
    <t>Long-Term Liabilities:</t>
  </si>
  <si>
    <t>Total Long-Term Liabilities</t>
  </si>
  <si>
    <t>Total Liabilities</t>
  </si>
  <si>
    <t>Shareholder's Equity:</t>
  </si>
  <si>
    <t>Paid in Capital</t>
  </si>
  <si>
    <t>Additional Equity Injections</t>
  </si>
  <si>
    <t>Retained Earnings</t>
  </si>
  <si>
    <t>Total Equity</t>
  </si>
  <si>
    <t>Total Liabilities and Equity</t>
  </si>
  <si>
    <t>Sales</t>
  </si>
  <si>
    <t>Revenue</t>
  </si>
  <si>
    <t>Gross Profit</t>
  </si>
  <si>
    <t>Key Ratios</t>
  </si>
  <si>
    <t>Profit and Loss at a Glance</t>
  </si>
  <si>
    <t>Gross Profit Margin</t>
  </si>
  <si>
    <t>Profit Margin</t>
  </si>
  <si>
    <t>Debt Service Coverage Ratio</t>
  </si>
  <si>
    <t>Sales Growth</t>
  </si>
  <si>
    <t>N/A</t>
  </si>
  <si>
    <t>EBITDA/Annual Debt Service</t>
  </si>
  <si>
    <t>Income Statement Report</t>
  </si>
  <si>
    <t>Balance Sheet Report</t>
  </si>
  <si>
    <t>Cash Flow Report</t>
  </si>
  <si>
    <t>Food Truck Sales</t>
  </si>
  <si>
    <t>Truck</t>
  </si>
  <si>
    <t>Food Truck</t>
  </si>
  <si>
    <t>Labor cost % of Sales</t>
  </si>
  <si>
    <t>Food Cost % of Sales</t>
  </si>
  <si>
    <t>Average Order $ Amount</t>
  </si>
  <si>
    <t># of Orders</t>
  </si>
  <si>
    <t>Vehicle/Liability Insurance</t>
  </si>
  <si>
    <t>Credit Card Processing Fees</t>
  </si>
  <si>
    <t>Fuel and Vehicle Repairs</t>
  </si>
  <si>
    <t>Uniforms</t>
  </si>
  <si>
    <t>Permits</t>
  </si>
  <si>
    <t>Parking Fees</t>
  </si>
  <si>
    <t>Food Truck Labor Cost</t>
  </si>
  <si>
    <t>Food Truck Material Cost</t>
  </si>
  <si>
    <t>Maximum number of orders you can fulfill per hour</t>
  </si>
  <si>
    <t>Average order $ amount</t>
  </si>
  <si>
    <t># of hours open per month</t>
  </si>
  <si>
    <t>% Capacity for that month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</si>
  <si>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</si>
  <si>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</si>
  <si>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</si>
  <si>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</si>
  <si>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</si>
  <si>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</si>
  <si>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</si>
  <si>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</si>
  <si>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</si>
  <si>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</si>
  <si>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</si>
  <si>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</si>
  <si>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</si>
  <si>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</si>
  <si>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</si>
  <si>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</si>
  <si>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</si>
  <si>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</si>
  <si>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</si>
  <si>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</si>
  <si>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</si>
  <si>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</si>
  <si>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</si>
  <si>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</si>
  <si>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</si>
  <si>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</si>
  <si>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</si>
  <si>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</si>
  <si>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</si>
  <si>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</si>
  <si>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</si>
  <si>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</si>
  <si>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</si>
  <si>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</si>
  <si>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</si>
  <si>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</si>
  <si>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Growth Rate %</t>
  </si>
  <si>
    <t>Example Food Truck</t>
  </si>
  <si>
    <t>This template is brought to you by ProjectionHub - a web application that helps entrepreneurs create</t>
  </si>
  <si>
    <t>financial projections for business plans, investors and lenders.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</si>
</sst>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\$#,##0.00_-;[Red]\(\$#,##0.00\)"/>
    <numFmt numFmtId="165" formatCode="#,##0_-;[Red]\(#,##0\)"/>
    <numFmt numFmtId="166" formatCode="\$#,##0_-;[Red]\(\$#,##0\)"/>
    <numFmt numFmtId="167" formatCode="_(&quot;$&quot;* #,##0_);_(&quot;$&quot;* \(#,##0\);_(&quot;$&quot;* &quot;-&quot;??_);_(@_)"/>
  </numFmts>
  <fonts count="1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E474C"/>
      <name val="Arial"/>
      <family val="2"/>
    </font>
    <font>
      <sz val="10"/>
      <color rgb="FF222222"/>
      <name val="Arial"/>
      <family val="2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4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6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0" fontId="1" fillId="0" borderId="0" xfId="0" applyNumberFormat="1" applyFont="1"/>
    <xf numFmtId="166" fontId="0" fillId="0" borderId="4" xfId="0" applyNumberFormat="1" applyBorder="1"/>
    <xf numFmtId="0" fontId="0" fillId="0" borderId="4" xfId="0" applyBorder="1"/>
    <xf numFmtId="166" fontId="0" fillId="0" borderId="5" xfId="0" applyNumberFormat="1" applyBorder="1"/>
    <xf numFmtId="166" fontId="1" fillId="0" borderId="6" xfId="0" applyNumberFormat="1" applyFont="1" applyBorder="1"/>
    <xf numFmtId="166" fontId="0" fillId="0" borderId="1" xfId="0" applyNumberFormat="1" applyBorder="1"/>
    <xf numFmtId="0" fontId="2" fillId="0" borderId="0" xfId="0" applyFont="1"/>
    <xf numFmtId="0" fontId="0" fillId="2" borderId="0" xfId="0" applyFill="1"/>
    <xf numFmtId="1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67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7" fontId="0" fillId="0" borderId="7" xfId="1" applyNumberFormat="1" applyFont="1" applyBorder="1"/>
    <xf numFmtId="167" fontId="0" fillId="0" borderId="8" xfId="1" applyNumberFormat="1" applyFont="1" applyBorder="1"/>
    <xf numFmtId="9" fontId="0" fillId="0" borderId="0" xfId="2" applyFont="1"/>
    <xf numFmtId="9" fontId="0" fillId="0" borderId="7" xfId="2" applyFont="1" applyBorder="1"/>
    <xf numFmtId="9" fontId="0" fillId="0" borderId="8" xfId="2" applyFont="1" applyBorder="1"/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4" fillId="0" borderId="12" xfId="0" applyFont="1" applyBorder="1"/>
    <xf numFmtId="0" fontId="4" fillId="0" borderId="13" xfId="0" applyFont="1" applyBorder="1"/>
    <xf numFmtId="0" fontId="5" fillId="0" borderId="12" xfId="0" applyFont="1" applyBorder="1"/>
    <xf numFmtId="9" fontId="0" fillId="0" borderId="0" xfId="2" applyFont="1" applyBorder="1"/>
    <xf numFmtId="9" fontId="0" fillId="0" borderId="13" xfId="2" applyFont="1" applyBorder="1"/>
    <xf numFmtId="0" fontId="5" fillId="0" borderId="14" xfId="0" applyFont="1" applyBorder="1"/>
    <xf numFmtId="2" fontId="0" fillId="0" borderId="15" xfId="0" applyNumberFormat="1" applyBorder="1"/>
    <xf numFmtId="2" fontId="0" fillId="0" borderId="16" xfId="0" applyNumberFormat="1" applyBorder="1"/>
    <xf numFmtId="167" fontId="0" fillId="0" borderId="0" xfId="1" applyNumberFormat="1" applyFont="1" applyBorder="1"/>
    <xf numFmtId="0" fontId="5" fillId="3" borderId="0" xfId="0" applyFont="1" applyFill="1"/>
    <xf numFmtId="9" fontId="0" fillId="3" borderId="0" xfId="2" applyFont="1" applyFill="1"/>
    <xf numFmtId="0" fontId="9" fillId="0" borderId="0" xfId="0" applyFont="1" applyAlignment="1">
      <alignment vertical="center" wrapText="1"/>
    </xf>
    <xf numFmtId="0" fontId="8" fillId="0" borderId="0" xfId="0" applyFont="1"/>
    <xf numFmtId="9" fontId="0" fillId="3" borderId="0" xfId="0" applyNumberFormat="1" applyFill="1"/>
    <xf numFmtId="44" fontId="0" fillId="3" borderId="0" xfId="1" applyFont="1" applyFill="1"/>
    <xf numFmtId="44" fontId="0" fillId="0" borderId="0" xfId="1" applyFont="1"/>
    <xf numFmtId="44" fontId="0" fillId="0" borderId="0" xfId="0" applyNumberFormat="1"/>
    <xf numFmtId="165" fontId="0" fillId="0" borderId="0" xfId="0" applyNumberFormat="1"/>
    <xf numFmtId="0" fontId="10" fillId="0" borderId="0" xfId="0" applyFont="1"/>
    <xf numFmtId="0" fontId="11" fillId="0" borderId="0" xfId="0" applyFont="1"/>
    <xf numFmtId="0" fontId="12" fillId="4" borderId="0" xfId="0" applyFont="1" applyFill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sz="1600" b="0" i="0" u="none" strike="noStrike">
                <a:latin typeface="Calibri"/>
              </a:rPr>
              <a:t>Annual Sales, Gross Margin, Net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1-4E6A-8A28-19C914121209}"/>
            </c:ext>
          </c:extLst>
        </c:ser>
        <c:ser>
          <c:idx val="1"/>
          <c:order val="1"/>
          <c:tx>
            <c:strRef>
              <c:f>AnnualSummary!$A$10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AnnualSummary!$B$10:$D$10</c:f>
              <c:numCache>
                <c:formatCode>\$#,##0_-;[Red]\(\$#,##0\)</c:formatCode>
                <c:ptCount val="3"/>
                <c:pt idx="0">
                  <c:v>67031.073105319025</c:v>
                </c:pt>
                <c:pt idx="1">
                  <c:v>85111.676050099399</c:v>
                </c:pt>
                <c:pt idx="2">
                  <c:v>108069.24407543516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1-4E6A-8A28-19C914121209}"/>
            </c:ext>
          </c:extLst>
        </c:ser>
        <c:ser>
          <c:idx val="2"/>
          <c:order val="2"/>
          <c:tx>
            <c:strRef>
              <c:f>AnnualSummary!$A$31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AnnualSummary!$B$31:$D$31</c:f>
              <c:numCache>
                <c:formatCode>\$#,##0_-;[Red]\(\$#,##0\)</c:formatCode>
                <c:ptCount val="3"/>
                <c:pt idx="0">
                  <c:v>37441.160260829434</c:v>
                </c:pt>
                <c:pt idx="1">
                  <c:v>55277.2404623767</c:v>
                </c:pt>
                <c:pt idx="2">
                  <c:v>72663.994133123255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1-4E6A-8A28-19C914121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147312"/>
        <c:axId val="476147704"/>
      </c:barChart>
      <c:catAx>
        <c:axId val="47614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76147704"/>
        <c:crosses val="autoZero"/>
        <c:auto val="1"/>
        <c:lblAlgn val="ctr"/>
        <c:lblOffset val="100"/>
        <c:noMultiLvlLbl val="0"/>
      </c:catAx>
      <c:valAx>
        <c:axId val="476147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6147704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Sources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StartupCosts!$A$10</c:f>
              <c:strCache>
                <c:ptCount val="1"/>
                <c:pt idx="0">
                  <c:v>Sources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C094-47E6-8FF9-A87EA91C053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StartupCosts!$A$11:$A$13</c:f>
              <c:strCache>
                <c:ptCount val="3"/>
                <c:pt idx="0">
                  <c:v>Personal Investment/Personal Savings</c:v>
                </c:pt>
                <c:pt idx="1">
                  <c:v>Outside Investment</c:v>
                </c:pt>
                <c:pt idx="2">
                  <c:v>Loans</c:v>
                </c:pt>
              </c:strCache>
            </c:strRef>
          </c:cat>
          <c:val>
            <c:numRef>
              <c:f>StartupCosts!$B$11:$B$13</c:f>
              <c:numCache>
                <c:formatCode>\$#,##0.00_-;[Red]\(\$#,##0.00\)</c:formatCode>
                <c:ptCount val="3"/>
                <c:pt idx="0">
                  <c:v>5500</c:v>
                </c:pt>
                <c:pt idx="1">
                  <c:v>8000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4-47E6-8FF9-A87EA91C05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Uses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StartupCosts!$A$16</c:f>
              <c:strCache>
                <c:ptCount val="1"/>
                <c:pt idx="0">
                  <c:v>Uses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717E-4D7A-9022-805987B604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StartupCosts!$A$17:$A$23</c:f>
              <c:strCache>
                <c:ptCount val="7"/>
                <c:pt idx="0">
                  <c:v>Land</c:v>
                </c:pt>
                <c:pt idx="1">
                  <c:v>Building</c:v>
                </c:pt>
                <c:pt idx="2">
                  <c:v>Equipment</c:v>
                </c:pt>
                <c:pt idx="3">
                  <c:v>Furniture</c:v>
                </c:pt>
                <c:pt idx="4">
                  <c:v>Required Starting Cash Balance</c:v>
                </c:pt>
                <c:pt idx="5">
                  <c:v>Starting Inventory</c:v>
                </c:pt>
                <c:pt idx="6">
                  <c:v>Other One Time Startup Costs</c:v>
                </c:pt>
              </c:strCache>
            </c:strRef>
          </c:cat>
          <c:val>
            <c:numRef>
              <c:f>StartupCosts!$B$17:$B$23</c:f>
              <c:numCache>
                <c:formatCode>\$#,##0.00_-;[Red]\(\$#,##0.00\)</c:formatCode>
                <c:ptCount val="7"/>
                <c:pt idx="0">
                  <c:v>12000</c:v>
                </c:pt>
                <c:pt idx="1">
                  <c:v>12000</c:v>
                </c:pt>
                <c:pt idx="2">
                  <c:v>12000</c:v>
                </c:pt>
                <c:pt idx="3">
                  <c:v>5500</c:v>
                </c:pt>
                <c:pt idx="4">
                  <c:v>0</c:v>
                </c:pt>
                <c:pt idx="5">
                  <c:v>5000</c:v>
                </c:pt>
                <c:pt idx="6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E-4D7A-9022-805987B6040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Break-even Analysis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for Dashboard'!$A$101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cat>
            <c:numRef>
              <c:f>'Graphs for Dashboard'!$B$100:$AK$100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'Graphs for Dashboard'!$B$101:$AK$101</c:f>
              <c:numCache>
                <c:formatCode>General</c:formatCode>
                <c:ptCount val="36"/>
                <c:pt idx="0">
                  <c:v>-134.58333333333303</c:v>
                </c:pt>
                <c:pt idx="1">
                  <c:v>2952.4369599531919</c:v>
                </c:pt>
                <c:pt idx="2">
                  <c:v>3040.8525139324579</c:v>
                </c:pt>
                <c:pt idx="3">
                  <c:v>3130.6760576963788</c:v>
                </c:pt>
                <c:pt idx="4">
                  <c:v>3221.9198262539549</c:v>
                </c:pt>
                <c:pt idx="5">
                  <c:v>3314.595513208963</c:v>
                </c:pt>
                <c:pt idx="6">
                  <c:v>3408.7142206176072</c:v>
                </c:pt>
                <c:pt idx="7">
                  <c:v>3504.2864058759956</c:v>
                </c:pt>
                <c:pt idx="8">
                  <c:v>3601.3218254796716</c:v>
                </c:pt>
                <c:pt idx="9">
                  <c:v>3699.8294754892713</c:v>
                </c:pt>
                <c:pt idx="10">
                  <c:v>3799.8175285279513</c:v>
                </c:pt>
                <c:pt idx="11">
                  <c:v>3901.293267127327</c:v>
                </c:pt>
                <c:pt idx="12">
                  <c:v>4004.2630132292134</c:v>
                </c:pt>
                <c:pt idx="13">
                  <c:v>4108.7320536407333</c:v>
                </c:pt>
                <c:pt idx="14">
                  <c:v>4214.7045612299944</c:v>
                </c:pt>
                <c:pt idx="15">
                  <c:v>4322.18351163856</c:v>
                </c:pt>
                <c:pt idx="16">
                  <c:v>4431.1705952758321</c:v>
                </c:pt>
                <c:pt idx="17">
                  <c:v>4541.6661243481185</c:v>
                </c:pt>
                <c:pt idx="18">
                  <c:v>4653.6689346629119</c:v>
                </c:pt>
                <c:pt idx="19">
                  <c:v>4767.1762819354917</c:v>
                </c:pt>
                <c:pt idx="20">
                  <c:v>4882.1837323111686</c:v>
                </c:pt>
                <c:pt idx="21">
                  <c:v>4998.6850468019356</c:v>
                </c:pt>
                <c:pt idx="22">
                  <c:v>5116.6720593208929</c:v>
                </c:pt>
                <c:pt idx="23">
                  <c:v>5236.1345479818501</c:v>
                </c:pt>
                <c:pt idx="24">
                  <c:v>5357.0600993145672</c:v>
                </c:pt>
                <c:pt idx="25">
                  <c:v>5479.4339650283482</c:v>
                </c:pt>
                <c:pt idx="26">
                  <c:v>5603.238910938122</c:v>
                </c:pt>
                <c:pt idx="27">
                  <c:v>5728.4550576475212</c:v>
                </c:pt>
                <c:pt idx="28">
                  <c:v>5855.0597125630175</c:v>
                </c:pt>
                <c:pt idx="29">
                  <c:v>5983.027192791471</c:v>
                </c:pt>
                <c:pt idx="30">
                  <c:v>6112.3286384509211</c:v>
                </c:pt>
                <c:pt idx="31">
                  <c:v>6242.931815900507</c:v>
                </c:pt>
                <c:pt idx="32">
                  <c:v>6374.8009103705735</c:v>
                </c:pt>
                <c:pt idx="33">
                  <c:v>6507.8963074475414</c:v>
                </c:pt>
                <c:pt idx="34">
                  <c:v>6642.1743628408231</c:v>
                </c:pt>
                <c:pt idx="35">
                  <c:v>6777.5871598298481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693-B884-82C108FA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8608"/>
        <c:axId val="475464296"/>
      </c:barChart>
      <c:catAx>
        <c:axId val="47546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4296"/>
        <c:crosses val="autoZero"/>
        <c:auto val="1"/>
        <c:lblAlgn val="ctr"/>
        <c:lblOffset val="100"/>
        <c:noMultiLvlLbl val="0"/>
      </c:catAx>
      <c:valAx>
        <c:axId val="475464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75464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CashFlowStatement_Year1!$C$42:$N$42</c:f>
              <c:numCache>
                <c:formatCode>\$#,##0_-;[Red]\(\$#,##0\)</c:formatCode>
                <c:ptCount val="12"/>
                <c:pt idx="0">
                  <c:v>5011.9372570213854</c:v>
                </c:pt>
                <c:pt idx="1">
                  <c:v>1118.1046945213857</c:v>
                </c:pt>
                <c:pt idx="2">
                  <c:v>2704.0440975151341</c:v>
                </c:pt>
                <c:pt idx="3">
                  <c:v>2791.4044075090569</c:v>
                </c:pt>
                <c:pt idx="4">
                  <c:v>2880.1988609838627</c:v>
                </c:pt>
                <c:pt idx="5">
                  <c:v>2970.4401942860095</c:v>
                </c:pt>
                <c:pt idx="6">
                  <c:v>3062.1405952656532</c:v>
                </c:pt>
                <c:pt idx="7">
                  <c:v>3155.3116520270196</c:v>
                </c:pt>
                <c:pt idx="8">
                  <c:v>3249.9642986374183</c:v>
                </c:pt>
                <c:pt idx="9">
                  <c:v>3346.108757633232</c:v>
                </c:pt>
                <c:pt idx="10">
                  <c:v>3443.7544791528235</c:v>
                </c:pt>
                <c:pt idx="11">
                  <c:v>3542.9100765178227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6-43E8-8C34-38F44F9C4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70960"/>
        <c:axId val="475469000"/>
      </c:barChart>
      <c:catAx>
        <c:axId val="47547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9000"/>
        <c:crosses val="autoZero"/>
        <c:auto val="1"/>
        <c:lblAlgn val="ctr"/>
        <c:lblOffset val="100"/>
        <c:noMultiLvlLbl val="0"/>
      </c:catAx>
      <c:valAx>
        <c:axId val="475469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9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CashFlowStatement_Year2!$B$5:$M$5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CashFlowStatement_Year2!$B$42:$M$42</c:f>
              <c:numCache>
                <c:formatCode>\$#,##0_-;[Red]\(\$#,##0\)</c:formatCode>
                <c:ptCount val="12"/>
                <c:pt idx="0">
                  <c:v>3643.5832580748756</c:v>
                </c:pt>
                <c:pt idx="1">
                  <c:v>3745.7807551004698</c:v>
                </c:pt>
                <c:pt idx="2">
                  <c:v>3849.5082455615138</c:v>
                </c:pt>
                <c:pt idx="3">
                  <c:v>3954.7702735132989</c:v>
                </c:pt>
                <c:pt idx="4">
                  <c:v>4061.5701639060208</c:v>
                </c:pt>
                <c:pt idx="5">
                  <c:v>4169.9099325586976</c:v>
                </c:pt>
                <c:pt idx="6">
                  <c:v>4279.7901910475121</c:v>
                </c:pt>
                <c:pt idx="7">
                  <c:v>4391.2100462424787</c:v>
                </c:pt>
                <c:pt idx="8">
                  <c:v>4504.1669942129101</c:v>
                </c:pt>
                <c:pt idx="9">
                  <c:v>4618.6568082079084</c:v>
                </c:pt>
                <c:pt idx="10">
                  <c:v>4734.6734204030745</c:v>
                </c:pt>
                <c:pt idx="11">
                  <c:v>4852.2087970891807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C-4DC6-9783-AECD1D83F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5080"/>
        <c:axId val="475463904"/>
      </c:barChart>
      <c:catAx>
        <c:axId val="47546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3904"/>
        <c:crosses val="autoZero"/>
        <c:auto val="1"/>
        <c:lblAlgn val="ctr"/>
        <c:lblOffset val="100"/>
        <c:noMultiLvlLbl val="0"/>
      </c:catAx>
      <c:valAx>
        <c:axId val="47546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CashFlowStatement_Year3!$B$5:$M$5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CashFlowStatement_Year3!$B$42:$M$42</c:f>
              <c:numCache>
                <c:formatCode>\$#,##0_-;[Red]\(\$#,##0\)</c:formatCode>
                <c:ptCount val="12"/>
                <c:pt idx="0">
                  <c:v>4971.2528069617838</c:v>
                </c:pt>
                <c:pt idx="1">
                  <c:v>5091.7930821536866</c:v>
                </c:pt>
                <c:pt idx="2">
                  <c:v>5213.8148716338437</c:v>
                </c:pt>
                <c:pt idx="3">
                  <c:v>5337.3008865773154</c:v>
                </c:pt>
                <c:pt idx="4">
                  <c:v>5462.2311372906406</c:v>
                </c:pt>
                <c:pt idx="5">
                  <c:v>5588.5827612562571</c:v>
                </c:pt>
                <c:pt idx="6">
                  <c:v>5716.3298418371924</c:v>
                </c:pt>
                <c:pt idx="7">
                  <c:v>5845.4432171601038</c:v>
                </c:pt>
                <c:pt idx="8">
                  <c:v>5975.8902786704057</c:v>
                </c:pt>
                <c:pt idx="9">
                  <c:v>6107.6347588276403</c:v>
                </c:pt>
                <c:pt idx="10">
                  <c:v>6240.6365073821398</c:v>
                </c:pt>
                <c:pt idx="11">
                  <c:v>6374.8512556460009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7-47CE-A649-A4277600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4688"/>
        <c:axId val="475469392"/>
      </c:barChart>
      <c:catAx>
        <c:axId val="47546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9392"/>
        <c:crosses val="autoZero"/>
        <c:auto val="1"/>
        <c:lblAlgn val="ctr"/>
        <c:lblOffset val="100"/>
        <c:noMultiLvlLbl val="0"/>
      </c:catAx>
      <c:valAx>
        <c:axId val="47546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9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13500</c:v>
                </c:pt>
                <c:pt idx="1">
                  <c:v>13771.35</c:v>
                </c:pt>
                <c:pt idx="2">
                  <c:v>14048.154135000001</c:v>
                </c:pt>
                <c:pt idx="3">
                  <c:v>14330.522033113501</c:v>
                </c:pt>
                <c:pt idx="4">
                  <c:v>14618.565525979086</c:v>
                </c:pt>
                <c:pt idx="5">
                  <c:v>14912.398693051264</c:v>
                </c:pt>
                <c:pt idx="6">
                  <c:v>15212.137906781592</c:v>
                </c:pt>
                <c:pt idx="7">
                  <c:v>15517.901878707902</c:v>
                </c:pt>
                <c:pt idx="8">
                  <c:v>15829.811706469931</c:v>
                </c:pt>
                <c:pt idx="9">
                  <c:v>16147.990921769977</c:v>
                </c:pt>
                <c:pt idx="10">
                  <c:v>16472.565539297553</c:v>
                </c:pt>
                <c:pt idx="11">
                  <c:v>16803.664106637436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210-B16A-3050604EA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3328"/>
        <c:axId val="12280976"/>
      </c:barChart>
      <c:catAx>
        <c:axId val="122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2280976"/>
        <c:crosses val="autoZero"/>
        <c:auto val="1"/>
        <c:lblAlgn val="ctr"/>
        <c:lblOffset val="100"/>
        <c:noMultiLvlLbl val="0"/>
      </c:catAx>
      <c:valAx>
        <c:axId val="1228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12280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1-4725-A34A-DB8320E3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8424"/>
        <c:axId val="12282544"/>
      </c:barChart>
      <c:catAx>
        <c:axId val="1228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82544"/>
        <c:crosses val="autoZero"/>
        <c:auto val="1"/>
        <c:lblAlgn val="ctr"/>
        <c:lblOffset val="100"/>
        <c:noMultiLvlLbl val="0"/>
      </c:catAx>
      <c:valAx>
        <c:axId val="12282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1228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CashFlowStatement_Year1!$C$42:$N$42</c:f>
              <c:numCache>
                <c:formatCode>\$#,##0_-;[Red]\(\$#,##0\)</c:formatCode>
                <c:ptCount val="12"/>
                <c:pt idx="0">
                  <c:v>5011.9372570213854</c:v>
                </c:pt>
                <c:pt idx="1">
                  <c:v>1118.1046945213857</c:v>
                </c:pt>
                <c:pt idx="2">
                  <c:v>2704.0440975151341</c:v>
                </c:pt>
                <c:pt idx="3">
                  <c:v>2791.4044075090569</c:v>
                </c:pt>
                <c:pt idx="4">
                  <c:v>2880.1988609838627</c:v>
                </c:pt>
                <c:pt idx="5">
                  <c:v>2970.4401942860095</c:v>
                </c:pt>
                <c:pt idx="6">
                  <c:v>3062.1405952656532</c:v>
                </c:pt>
                <c:pt idx="7">
                  <c:v>3155.3116520270196</c:v>
                </c:pt>
                <c:pt idx="8">
                  <c:v>3249.9642986374183</c:v>
                </c:pt>
                <c:pt idx="9">
                  <c:v>3346.108757633232</c:v>
                </c:pt>
                <c:pt idx="10">
                  <c:v>3443.7544791528235</c:v>
                </c:pt>
                <c:pt idx="11">
                  <c:v>3542.9100765178227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7-41BE-9BD4-66BFDD68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8816"/>
        <c:axId val="12289600"/>
      </c:barChart>
      <c:catAx>
        <c:axId val="1228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2289600"/>
        <c:crosses val="autoZero"/>
        <c:auto val="1"/>
        <c:lblAlgn val="ctr"/>
        <c:lblOffset val="100"/>
        <c:noMultiLvlLbl val="0"/>
      </c:catAx>
      <c:valAx>
        <c:axId val="1228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12289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13500</c:v>
                </c:pt>
                <c:pt idx="1">
                  <c:v>13771.35</c:v>
                </c:pt>
                <c:pt idx="2">
                  <c:v>14048.154135000001</c:v>
                </c:pt>
                <c:pt idx="3">
                  <c:v>14330.522033113501</c:v>
                </c:pt>
                <c:pt idx="4">
                  <c:v>14618.565525979086</c:v>
                </c:pt>
                <c:pt idx="5">
                  <c:v>14912.398693051264</c:v>
                </c:pt>
                <c:pt idx="6">
                  <c:v>15212.137906781592</c:v>
                </c:pt>
                <c:pt idx="7">
                  <c:v>15517.901878707902</c:v>
                </c:pt>
                <c:pt idx="8">
                  <c:v>15829.811706469931</c:v>
                </c:pt>
                <c:pt idx="9">
                  <c:v>16147.990921769977</c:v>
                </c:pt>
                <c:pt idx="10">
                  <c:v>16472.565539297553</c:v>
                </c:pt>
                <c:pt idx="11">
                  <c:v>16803.664106637436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4FE-A18E-2644CE055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5896"/>
        <c:axId val="472473544"/>
      </c:barChart>
      <c:catAx>
        <c:axId val="47247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2473544"/>
        <c:crosses val="autoZero"/>
        <c:auto val="1"/>
        <c:lblAlgn val="ctr"/>
        <c:lblOffset val="100"/>
        <c:noMultiLvlLbl val="0"/>
      </c:catAx>
      <c:valAx>
        <c:axId val="472473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3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IncomeStatement_Year2!$B$5:$M$5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IncomeStatement_Year2!$B$8:$M$8</c:f>
              <c:numCache>
                <c:formatCode>\$#,##0_-;[Red]\(\$#,##0\)</c:formatCode>
                <c:ptCount val="12"/>
                <c:pt idx="0">
                  <c:v>17141.417755180853</c:v>
                </c:pt>
                <c:pt idx="1">
                  <c:v>17485.960252059984</c:v>
                </c:pt>
                <c:pt idx="2">
                  <c:v>17837.42805312639</c:v>
                </c:pt>
                <c:pt idx="3">
                  <c:v>18195.96035699423</c:v>
                </c:pt>
                <c:pt idx="4">
                  <c:v>18561.699160169814</c:v>
                </c:pt>
                <c:pt idx="5">
                  <c:v>18934.789313289228</c:v>
                </c:pt>
                <c:pt idx="6">
                  <c:v>19315.378578486343</c:v>
                </c:pt>
                <c:pt idx="7">
                  <c:v>19703.61768791392</c:v>
                </c:pt>
                <c:pt idx="8">
                  <c:v>20099.66040344099</c:v>
                </c:pt>
                <c:pt idx="9">
                  <c:v>20503.663577550156</c:v>
                </c:pt>
                <c:pt idx="10">
                  <c:v>20915.787215458917</c:v>
                </c:pt>
                <c:pt idx="11">
                  <c:v>21336.194538489643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F-4F0F-B6F0-F3DFF1D3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4328"/>
        <c:axId val="472476288"/>
      </c:barChart>
      <c:catAx>
        <c:axId val="472474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2476288"/>
        <c:crosses val="autoZero"/>
        <c:auto val="1"/>
        <c:lblAlgn val="ctr"/>
        <c:lblOffset val="100"/>
        <c:noMultiLvlLbl val="0"/>
      </c:catAx>
      <c:valAx>
        <c:axId val="472476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IncomeStatement_Year3!$B$5:$M$5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IncomeStatement_Year3!$B$8:$M$8</c:f>
              <c:numCache>
                <c:formatCode>\$#,##0_-;[Red]\(\$#,##0\)</c:formatCode>
                <c:ptCount val="12"/>
                <c:pt idx="0">
                  <c:v>21765.052048713285</c:v>
                </c:pt>
                <c:pt idx="1">
                  <c:v>22202.529594892421</c:v>
                </c:pt>
                <c:pt idx="2">
                  <c:v>22648.800439749753</c:v>
                </c:pt>
                <c:pt idx="3">
                  <c:v>23104.041328588723</c:v>
                </c:pt>
                <c:pt idx="4">
                  <c:v>23568.43255929336</c:v>
                </c:pt>
                <c:pt idx="5">
                  <c:v>24042.158053735158</c:v>
                </c:pt>
                <c:pt idx="6">
                  <c:v>24525.405430615236</c:v>
                </c:pt>
                <c:pt idx="7">
                  <c:v>25018.366079770603</c:v>
                </c:pt>
                <c:pt idx="8">
                  <c:v>25521.235237973997</c:v>
                </c:pt>
                <c:pt idx="9">
                  <c:v>26034.212066257274</c:v>
                </c:pt>
                <c:pt idx="10">
                  <c:v>26557.499728789047</c:v>
                </c:pt>
                <c:pt idx="11">
                  <c:v>27091.30547333771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4-416A-B52E-8DFBF1065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3936"/>
        <c:axId val="472477072"/>
      </c:barChart>
      <c:catAx>
        <c:axId val="47247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2477072"/>
        <c:crosses val="autoZero"/>
        <c:auto val="1"/>
        <c:lblAlgn val="ctr"/>
        <c:lblOffset val="100"/>
        <c:noMultiLvlLbl val="0"/>
      </c:catAx>
      <c:valAx>
        <c:axId val="472477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3-4ABD-ADFE-249D2CD8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7856"/>
        <c:axId val="472470408"/>
      </c:barChart>
      <c:catAx>
        <c:axId val="4724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72470408"/>
        <c:crosses val="autoZero"/>
        <c:auto val="1"/>
        <c:lblAlgn val="ctr"/>
        <c:lblOffset val="100"/>
        <c:noMultiLvlLbl val="0"/>
      </c:catAx>
      <c:valAx>
        <c:axId val="472470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0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Sales, Gross Margin, Net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986-8714-1722E17B3132}"/>
            </c:ext>
          </c:extLst>
        </c:ser>
        <c:ser>
          <c:idx val="1"/>
          <c:order val="1"/>
          <c:tx>
            <c:strRef>
              <c:f>AnnualSummary!$A$10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AnnualSummary!$B$10:$D$10</c:f>
              <c:numCache>
                <c:formatCode>\$#,##0_-;[Red]\(\$#,##0\)</c:formatCode>
                <c:ptCount val="3"/>
                <c:pt idx="0">
                  <c:v>67031.073105319025</c:v>
                </c:pt>
                <c:pt idx="1">
                  <c:v>85111.676050099399</c:v>
                </c:pt>
                <c:pt idx="2">
                  <c:v>108069.24407543516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2-4986-8714-1722E17B3132}"/>
            </c:ext>
          </c:extLst>
        </c:ser>
        <c:ser>
          <c:idx val="2"/>
          <c:order val="2"/>
          <c:tx>
            <c:strRef>
              <c:f>AnnualSummary!$A$31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AnnualSummary!$B$31:$D$31</c:f>
              <c:numCache>
                <c:formatCode>\$#,##0_-;[Red]\(\$#,##0\)</c:formatCode>
                <c:ptCount val="3"/>
                <c:pt idx="0">
                  <c:v>37441.160260829434</c:v>
                </c:pt>
                <c:pt idx="1">
                  <c:v>55277.2404623767</c:v>
                </c:pt>
                <c:pt idx="2">
                  <c:v>72663.994133123255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2-4986-8714-1722E17B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8216"/>
        <c:axId val="475465472"/>
      </c:barChart>
      <c:catAx>
        <c:axId val="47546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75465472"/>
        <c:crosses val="autoZero"/>
        <c:auto val="1"/>
        <c:lblAlgn val="ctr"/>
        <c:lblOffset val="100"/>
        <c:noMultiLvlLbl val="0"/>
      </c:catAx>
      <c:valAx>
        <c:axId val="475465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5472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180976</xdr:rowOff>
    </xdr:from>
    <xdr:to>
      <xdr:col>11</xdr:col>
      <xdr:colOff>19050</xdr:colOff>
      <xdr:row>14</xdr:row>
      <xdr:rowOff>180975</xdr:rowOff>
    </xdr:to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1524001"/>
          <a:ext cx="4886325" cy="1523999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95250</xdr:colOff>
      <xdr:row>27</xdr:row>
      <xdr:rowOff>95250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15</xdr:col>
      <xdr:colOff>95250</xdr:colOff>
      <xdr:row>27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95250</xdr:colOff>
      <xdr:row>43</xdr:row>
      <xdr:rowOff>95250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15</xdr:col>
      <xdr:colOff>95250</xdr:colOff>
      <xdr:row>43</xdr:row>
      <xdr:rowOff>95250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95250</xdr:colOff>
      <xdr:row>14</xdr:row>
      <xdr:rowOff>95250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1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95250</xdr:colOff>
      <xdr:row>14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1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95250</xdr:colOff>
      <xdr:row>14</xdr:row>
      <xdr:rowOff>95250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1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95250</xdr:colOff>
      <xdr:row>29</xdr:row>
      <xdr:rowOff>95250</xdr:rowOff>
    </xdr:to>
    <xdr:graphicFrame macro="">
      <xdr:nvGraphicFramePr>
        <xdr:cNvPr id="4100" name="Chart 4">
          <a:extLst>
            <a:ext uri="{FF2B5EF4-FFF2-40B4-BE49-F238E27FC236}">
              <a16:creationId xmlns:a16="http://schemas.microsoft.com/office/drawing/2014/main" id="{00000000-0008-0000-11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14</xdr:col>
      <xdr:colOff>95250</xdr:colOff>
      <xdr:row>29</xdr:row>
      <xdr:rowOff>95250</xdr:rowOff>
    </xdr:to>
    <xdr:graphicFrame macro="">
      <xdr:nvGraphicFramePr>
        <xdr:cNvPr id="5125" name="Chart 5">
          <a:extLst>
            <a:ext uri="{FF2B5EF4-FFF2-40B4-BE49-F238E27FC236}">
              <a16:creationId xmlns:a16="http://schemas.microsoft.com/office/drawing/2014/main" id="{00000000-0008-0000-11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95250</xdr:colOff>
      <xdr:row>44</xdr:row>
      <xdr:rowOff>95250</xdr:rowOff>
    </xdr:to>
    <xdr:graphicFrame macro="">
      <xdr:nvGraphicFramePr>
        <xdr:cNvPr id="6150" name="Chart 6">
          <a:extLst>
            <a:ext uri="{FF2B5EF4-FFF2-40B4-BE49-F238E27FC236}">
              <a16:creationId xmlns:a16="http://schemas.microsoft.com/office/drawing/2014/main" id="{00000000-0008-0000-1100-00000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14</xdr:col>
      <xdr:colOff>95250</xdr:colOff>
      <xdr:row>44</xdr:row>
      <xdr:rowOff>95250</xdr:rowOff>
    </xdr:to>
    <xdr:graphicFrame macro="">
      <xdr:nvGraphicFramePr>
        <xdr:cNvPr id="7175" name="Chart 7">
          <a:extLst>
            <a:ext uri="{FF2B5EF4-FFF2-40B4-BE49-F238E27FC236}">
              <a16:creationId xmlns:a16="http://schemas.microsoft.com/office/drawing/2014/main" id="{00000000-0008-0000-1100-000007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95250</xdr:colOff>
      <xdr:row>59</xdr:row>
      <xdr:rowOff>95250</xdr:rowOff>
    </xdr:to>
    <xdr:graphicFrame macro="">
      <xdr:nvGraphicFramePr>
        <xdr:cNvPr id="8200" name="Chart 8">
          <a:extLst>
            <a:ext uri="{FF2B5EF4-FFF2-40B4-BE49-F238E27FC236}">
              <a16:creationId xmlns:a16="http://schemas.microsoft.com/office/drawing/2014/main" id="{00000000-0008-0000-1100-00000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95250</xdr:colOff>
      <xdr:row>74</xdr:row>
      <xdr:rowOff>95250</xdr:rowOff>
    </xdr:to>
    <xdr:graphicFrame macro="">
      <xdr:nvGraphicFramePr>
        <xdr:cNvPr id="9225" name="Chart 9">
          <a:extLst>
            <a:ext uri="{FF2B5EF4-FFF2-40B4-BE49-F238E27FC236}">
              <a16:creationId xmlns:a16="http://schemas.microsoft.com/office/drawing/2014/main" id="{00000000-0008-0000-1100-00000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14</xdr:col>
      <xdr:colOff>95250</xdr:colOff>
      <xdr:row>74</xdr:row>
      <xdr:rowOff>95250</xdr:rowOff>
    </xdr:to>
    <xdr:graphicFrame macro="">
      <xdr:nvGraphicFramePr>
        <xdr:cNvPr id="10250" name="Chart 10">
          <a:extLst>
            <a:ext uri="{FF2B5EF4-FFF2-40B4-BE49-F238E27FC236}">
              <a16:creationId xmlns:a16="http://schemas.microsoft.com/office/drawing/2014/main" id="{00000000-0008-0000-1100-00000A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21</xdr:col>
      <xdr:colOff>95250</xdr:colOff>
      <xdr:row>74</xdr:row>
      <xdr:rowOff>95250</xdr:rowOff>
    </xdr:to>
    <xdr:graphicFrame macro="">
      <xdr:nvGraphicFramePr>
        <xdr:cNvPr id="11275" name="Chart 11">
          <a:extLst>
            <a:ext uri="{FF2B5EF4-FFF2-40B4-BE49-F238E27FC236}">
              <a16:creationId xmlns:a16="http://schemas.microsoft.com/office/drawing/2014/main" id="{00000000-0008-0000-1100-00000B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73A2"/>
      </a:accent1>
      <a:accent2>
        <a:srgbClr val="ED3E11"/>
      </a:accent2>
      <a:accent3>
        <a:srgbClr val="ACC313"/>
      </a:accent3>
      <a:accent4>
        <a:srgbClr val="134561"/>
      </a:accent4>
      <a:accent5>
        <a:srgbClr val="79ABC7"/>
      </a:accent5>
      <a:accent6>
        <a:srgbClr val="D2E3E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"/>
  <sheetViews>
    <sheetView workbookViewId="0">
      <selection activeCell="A2" sqref="A2"/>
    </sheetView>
  </sheetViews>
  <sheetFormatPr baseColWidth="10" defaultColWidth="8.83203125" defaultRowHeight="15" x14ac:dyDescent="0.2"/>
  <sheetData>
    <row r="2" spans="1:14" ht="21" customHeight="1" x14ac:dyDescent="0.25">
      <c r="A2" s="50" t="s">
        <v>207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customHeight="1" x14ac:dyDescent="0.25">
      <c r="D3" s="52" t="s">
        <v>208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 customHeight="1" x14ac:dyDescent="0.2"/>
    <row r="5" spans="1:14" ht="18.75" customHeight="1" x14ac:dyDescent="0.25">
      <c r="A5" s="53" t="str">
        <f>HYPERLINK("https://projectionhub.com/","Try ProjectionHub for Free at www.projectionhub.com ")</f>
        <v xml:space="preserve">Try ProjectionHub for Free at www.projectionhub.com 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</sheetData>
  <mergeCells count="1">
    <mergeCell ref="A5:N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9"/>
  <sheetViews>
    <sheetView topLeftCell="B16" workbookViewId="0">
      <selection activeCell="O34" sqref="O34"/>
    </sheetView>
  </sheetViews>
  <sheetFormatPr baseColWidth="10" defaultColWidth="8.83203125" defaultRowHeight="15" x14ac:dyDescent="0.2"/>
  <cols>
    <col min="1" max="1" width="29.5" bestFit="1" customWidth="1"/>
    <col min="2" max="14" width="11.6640625" bestFit="1" customWidth="1"/>
    <col min="15" max="15" width="8.1640625" bestFit="1" customWidth="1"/>
  </cols>
  <sheetData>
    <row r="1" spans="1:15" x14ac:dyDescent="0.2">
      <c r="A1" t="str">
        <f>DATA!B1</f>
        <v>Example Food Truck</v>
      </c>
    </row>
    <row r="2" spans="1:15" x14ac:dyDescent="0.2">
      <c r="A2" t="s">
        <v>97</v>
      </c>
    </row>
    <row r="3" spans="1:15" x14ac:dyDescent="0.2">
      <c r="A3" t="s">
        <v>78</v>
      </c>
    </row>
    <row r="5" spans="1:15" x14ac:dyDescent="0.2"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 s="4" t="s">
        <v>78</v>
      </c>
    </row>
    <row r="7" spans="1:15" x14ac:dyDescent="0.2">
      <c r="A7" s="4" t="s">
        <v>98</v>
      </c>
      <c r="B7" s="5">
        <f>0</f>
        <v>0</v>
      </c>
      <c r="C7" s="5">
        <f>StartupCosts!B2</f>
        <v>0</v>
      </c>
      <c r="D7" s="5">
        <f t="shared" ref="D7:N7" si="0">C7+C42</f>
        <v>5011.9372570213854</v>
      </c>
      <c r="E7" s="5">
        <f t="shared" si="0"/>
        <v>6130.0419515427711</v>
      </c>
      <c r="F7" s="5">
        <f t="shared" si="0"/>
        <v>8834.0860490579053</v>
      </c>
      <c r="G7" s="5">
        <f t="shared" si="0"/>
        <v>11625.490456566962</v>
      </c>
      <c r="H7" s="5">
        <f t="shared" si="0"/>
        <v>14505.689317550825</v>
      </c>
      <c r="I7" s="5">
        <f t="shared" si="0"/>
        <v>17476.129511836836</v>
      </c>
      <c r="J7" s="5">
        <f t="shared" si="0"/>
        <v>20538.270107102489</v>
      </c>
      <c r="K7" s="5">
        <f t="shared" si="0"/>
        <v>23693.581759129509</v>
      </c>
      <c r="L7" s="5">
        <f t="shared" si="0"/>
        <v>26943.546057766929</v>
      </c>
      <c r="M7" s="5">
        <f t="shared" si="0"/>
        <v>30289.654815400161</v>
      </c>
      <c r="N7" s="5">
        <f t="shared" si="0"/>
        <v>33733.409294552985</v>
      </c>
      <c r="O7" s="6">
        <f>N7</f>
        <v>33733.409294552985</v>
      </c>
    </row>
    <row r="9" spans="1:15" x14ac:dyDescent="0.2">
      <c r="A9" s="4" t="s">
        <v>99</v>
      </c>
    </row>
    <row r="10" spans="1:15" x14ac:dyDescent="0.2">
      <c r="A10" t="s">
        <v>44</v>
      </c>
      <c r="B10" s="5">
        <v>0</v>
      </c>
      <c r="C10" s="5">
        <f>DATA!B72</f>
        <v>13500</v>
      </c>
      <c r="D10" s="5">
        <f>DATA!C72</f>
        <v>13771.35</v>
      </c>
      <c r="E10" s="5">
        <f>DATA!D72</f>
        <v>14048.154135000001</v>
      </c>
      <c r="F10" s="5">
        <f>DATA!E72</f>
        <v>14330.522033113501</v>
      </c>
      <c r="G10" s="5">
        <f>DATA!F72</f>
        <v>14618.565525979086</v>
      </c>
      <c r="H10" s="5">
        <f>DATA!G72</f>
        <v>14912.398693051264</v>
      </c>
      <c r="I10" s="5">
        <f>DATA!H72</f>
        <v>15212.137906781592</v>
      </c>
      <c r="J10" s="5">
        <f>DATA!I72</f>
        <v>15517.901878707902</v>
      </c>
      <c r="K10" s="5">
        <f>DATA!J72</f>
        <v>15829.811706469931</v>
      </c>
      <c r="L10" s="5">
        <f>DATA!K72</f>
        <v>16147.990921769977</v>
      </c>
      <c r="M10" s="5">
        <f>DATA!L72</f>
        <v>16472.565539297553</v>
      </c>
      <c r="N10" s="5">
        <f>DATA!M72</f>
        <v>16803.664106637436</v>
      </c>
      <c r="O10" s="6">
        <f>SUM(B10:N10)</f>
        <v>181165.06244680824</v>
      </c>
    </row>
    <row r="11" spans="1:15" x14ac:dyDescent="0.2">
      <c r="A11" t="s">
        <v>72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5">
        <f>0</f>
        <v>0</v>
      </c>
      <c r="O11" s="6">
        <f>SUM(B11:N11)</f>
        <v>0</v>
      </c>
    </row>
    <row r="12" spans="1:15" x14ac:dyDescent="0.2">
      <c r="A12" s="4" t="s">
        <v>100</v>
      </c>
      <c r="B12" s="8">
        <f t="shared" ref="B12:N12" si="1">SUM(B10:B11)</f>
        <v>0</v>
      </c>
      <c r="C12" s="8">
        <f t="shared" si="1"/>
        <v>13500</v>
      </c>
      <c r="D12" s="8">
        <f t="shared" si="1"/>
        <v>13771.35</v>
      </c>
      <c r="E12" s="8">
        <f t="shared" si="1"/>
        <v>14048.154135000001</v>
      </c>
      <c r="F12" s="8">
        <f t="shared" si="1"/>
        <v>14330.522033113501</v>
      </c>
      <c r="G12" s="8">
        <f t="shared" si="1"/>
        <v>14618.565525979086</v>
      </c>
      <c r="H12" s="8">
        <f t="shared" si="1"/>
        <v>14912.398693051264</v>
      </c>
      <c r="I12" s="8">
        <f t="shared" si="1"/>
        <v>15212.137906781592</v>
      </c>
      <c r="J12" s="8">
        <f t="shared" si="1"/>
        <v>15517.901878707902</v>
      </c>
      <c r="K12" s="8">
        <f t="shared" si="1"/>
        <v>15829.811706469931</v>
      </c>
      <c r="L12" s="8">
        <f t="shared" si="1"/>
        <v>16147.990921769977</v>
      </c>
      <c r="M12" s="8">
        <f t="shared" si="1"/>
        <v>16472.565539297553</v>
      </c>
      <c r="N12" s="8">
        <f t="shared" si="1"/>
        <v>16803.664106637436</v>
      </c>
      <c r="O12" s="8">
        <f>SUM(B12:N12)</f>
        <v>181165.06244680824</v>
      </c>
    </row>
    <row r="14" spans="1:15" x14ac:dyDescent="0.2">
      <c r="A14" s="4" t="s">
        <v>101</v>
      </c>
    </row>
    <row r="15" spans="1:15" x14ac:dyDescent="0.2">
      <c r="A15" t="s">
        <v>102</v>
      </c>
      <c r="B15" s="5">
        <v>0</v>
      </c>
      <c r="C15" s="5">
        <f>DATA!B67/2</f>
        <v>2024.9999999999998</v>
      </c>
      <c r="D15" s="5">
        <f>(DATA!B67/2)+(DATA!C67/2)</f>
        <v>4090.7024999999994</v>
      </c>
      <c r="E15" s="5">
        <f>(DATA!C67/2)+(DATA!D67/2)</f>
        <v>4172.9256202500001</v>
      </c>
      <c r="F15" s="5">
        <f>(DATA!D67/2)+(DATA!E67/2)</f>
        <v>4256.8014252170251</v>
      </c>
      <c r="G15" s="5">
        <f>(DATA!E67/2)+(DATA!F67/2)</f>
        <v>4342.3631338638879</v>
      </c>
      <c r="H15" s="5">
        <f>(DATA!F67/2)+(DATA!G67/2)</f>
        <v>4429.6446328545517</v>
      </c>
      <c r="I15" s="5">
        <f>(DATA!G67/2)+(DATA!H67/2)</f>
        <v>4518.6804899749277</v>
      </c>
      <c r="J15" s="5">
        <f>(DATA!H67/2)+(DATA!I67/2)</f>
        <v>4609.5059678234238</v>
      </c>
      <c r="K15" s="5">
        <f>(DATA!I67/2)+(DATA!J67/2)</f>
        <v>4702.1570377766748</v>
      </c>
      <c r="L15" s="5">
        <f>(DATA!J67/2)+(DATA!K67/2)</f>
        <v>4796.6703942359854</v>
      </c>
      <c r="M15" s="5">
        <f>(DATA!K67/2)+(DATA!L67/2)</f>
        <v>4893.0834691601294</v>
      </c>
      <c r="N15" s="5">
        <f>(DATA!L67/2)+(DATA!M67/2)</f>
        <v>4991.4344468902491</v>
      </c>
      <c r="O15" s="6">
        <f t="shared" ref="O15:O40" si="2">SUM(B15:N15)</f>
        <v>51828.969118046851</v>
      </c>
    </row>
    <row r="16" spans="1:15" x14ac:dyDescent="0.2">
      <c r="A16" t="s">
        <v>103</v>
      </c>
      <c r="B16" s="5">
        <v>0</v>
      </c>
      <c r="C16" s="5">
        <f>DATA!B68/2</f>
        <v>2227.5</v>
      </c>
      <c r="D16" s="5">
        <f>(DATA!B68/2)+(DATA!C68/2)</f>
        <v>4499.7727500000001</v>
      </c>
      <c r="E16" s="5">
        <f>(DATA!C68/2)+(DATA!D68/2)</f>
        <v>4590.2181822750008</v>
      </c>
      <c r="F16" s="5">
        <f>(DATA!D68/2)+(DATA!E68/2)</f>
        <v>4682.4815677387287</v>
      </c>
      <c r="G16" s="5">
        <f>(DATA!E68/2)+(DATA!F68/2)</f>
        <v>4776.5994472502771</v>
      </c>
      <c r="H16" s="5">
        <f>(DATA!F68/2)+(DATA!G68/2)</f>
        <v>4872.6090961400078</v>
      </c>
      <c r="I16" s="5">
        <f>(DATA!G68/2)+(DATA!H68/2)</f>
        <v>4970.5485389724208</v>
      </c>
      <c r="J16" s="5">
        <f>(DATA!H68/2)+(DATA!I68/2)</f>
        <v>5070.4565646057663</v>
      </c>
      <c r="K16" s="5">
        <f>(DATA!I68/2)+(DATA!J68/2)</f>
        <v>5172.3727415543426</v>
      </c>
      <c r="L16" s="5">
        <f>(DATA!J68/2)+(DATA!K68/2)</f>
        <v>5276.3374336595853</v>
      </c>
      <c r="M16" s="5">
        <f>(DATA!K68/2)+(DATA!L68/2)</f>
        <v>5382.3918160761423</v>
      </c>
      <c r="N16" s="5">
        <f>(DATA!L68/2)+(DATA!M68/2)</f>
        <v>5490.5778915792735</v>
      </c>
      <c r="O16" s="6">
        <f t="shared" si="2"/>
        <v>57011.866029851546</v>
      </c>
    </row>
    <row r="17" spans="1:15" x14ac:dyDescent="0.2">
      <c r="A17" t="s">
        <v>20</v>
      </c>
      <c r="B17" s="5">
        <v>0</v>
      </c>
      <c r="C17" s="5">
        <f>DATA!B44/2</f>
        <v>50</v>
      </c>
      <c r="D17" s="5">
        <f>(DATA!B44/2)+(DATA!C44/2)</f>
        <v>100</v>
      </c>
      <c r="E17" s="5">
        <f>(DATA!C44/2)+(DATA!D44/2)</f>
        <v>100</v>
      </c>
      <c r="F17" s="5">
        <f>(DATA!D44/2)+(DATA!E44/2)</f>
        <v>100</v>
      </c>
      <c r="G17" s="5">
        <f>(DATA!E44/2)+(DATA!F44/2)</f>
        <v>100</v>
      </c>
      <c r="H17" s="5">
        <f>(DATA!F44/2)+(DATA!G44/2)</f>
        <v>100</v>
      </c>
      <c r="I17" s="5">
        <f>(DATA!G44/2)+(DATA!H44/2)</f>
        <v>100</v>
      </c>
      <c r="J17" s="5">
        <f>(DATA!H44/2)+(DATA!I44/2)</f>
        <v>100</v>
      </c>
      <c r="K17" s="5">
        <f>(DATA!I44/2)+(DATA!J44/2)</f>
        <v>100</v>
      </c>
      <c r="L17" s="5">
        <f>(DATA!J44/2)+(DATA!K44/2)</f>
        <v>100</v>
      </c>
      <c r="M17" s="5">
        <f>(DATA!K44/2)+(DATA!L44/2)</f>
        <v>100</v>
      </c>
      <c r="N17" s="5">
        <f>(DATA!L44/2)+(DATA!M44/2)</f>
        <v>100</v>
      </c>
      <c r="O17" s="6">
        <f t="shared" si="2"/>
        <v>1150</v>
      </c>
    </row>
    <row r="18" spans="1:15" x14ac:dyDescent="0.2">
      <c r="A18" t="s">
        <v>21</v>
      </c>
      <c r="B18" s="5">
        <v>0</v>
      </c>
      <c r="C18" s="5">
        <f>DATA!B45/2</f>
        <v>100</v>
      </c>
      <c r="D18" s="5">
        <f>(DATA!B45/2)+(DATA!C45/2)</f>
        <v>205</v>
      </c>
      <c r="E18" s="5">
        <f>(DATA!C45/2)+(DATA!D45/2)</f>
        <v>215.25</v>
      </c>
      <c r="F18" s="5">
        <f>(DATA!D45/2)+(DATA!E45/2)</f>
        <v>226.01249999999999</v>
      </c>
      <c r="G18" s="5">
        <f>(DATA!E45/2)+(DATA!F45/2)</f>
        <v>237.31312500000001</v>
      </c>
      <c r="H18" s="5">
        <f>(DATA!F45/2)+(DATA!G45/2)</f>
        <v>249.17878125000004</v>
      </c>
      <c r="I18" s="5">
        <f>(DATA!G45/2)+(DATA!H45/2)</f>
        <v>261.63772031250005</v>
      </c>
      <c r="J18" s="5">
        <f>(DATA!H45/2)+(DATA!I45/2)</f>
        <v>274.71960632812511</v>
      </c>
      <c r="K18" s="5">
        <f>(DATA!I45/2)+(DATA!J45/2)</f>
        <v>288.45558664453137</v>
      </c>
      <c r="L18" s="5">
        <f>(DATA!J45/2)+(DATA!K45/2)</f>
        <v>302.87836597675795</v>
      </c>
      <c r="M18" s="5">
        <f>(DATA!K45/2)+(DATA!L45/2)</f>
        <v>318.02228427559584</v>
      </c>
      <c r="N18" s="5">
        <f>(DATA!L45/2)+(DATA!M45/2)</f>
        <v>333.92339848937564</v>
      </c>
      <c r="O18" s="6">
        <f t="shared" si="2"/>
        <v>3012.3913682768857</v>
      </c>
    </row>
    <row r="19" spans="1:15" x14ac:dyDescent="0.2">
      <c r="A19" t="s">
        <v>23</v>
      </c>
      <c r="B19" s="5">
        <v>0</v>
      </c>
      <c r="C19" s="5">
        <f>DATA!B47/2</f>
        <v>1250</v>
      </c>
      <c r="D19" s="5">
        <f>(DATA!B47/2)+(DATA!C47/2)</f>
        <v>1250</v>
      </c>
      <c r="E19" s="5">
        <f>(DATA!C47/2)+(DATA!D47/2)</f>
        <v>0</v>
      </c>
      <c r="F19" s="5">
        <f>(DATA!D47/2)+(DATA!E47/2)</f>
        <v>0</v>
      </c>
      <c r="G19" s="5">
        <f>(DATA!E47/2)+(DATA!F47/2)</f>
        <v>0</v>
      </c>
      <c r="H19" s="5">
        <f>(DATA!F47/2)+(DATA!G47/2)</f>
        <v>0</v>
      </c>
      <c r="I19" s="5">
        <f>(DATA!G47/2)+(DATA!H47/2)</f>
        <v>0</v>
      </c>
      <c r="J19" s="5">
        <f>(DATA!H47/2)+(DATA!I47/2)</f>
        <v>0</v>
      </c>
      <c r="K19" s="5">
        <f>(DATA!I47/2)+(DATA!J47/2)</f>
        <v>0</v>
      </c>
      <c r="L19" s="5">
        <f>(DATA!J47/2)+(DATA!K47/2)</f>
        <v>0</v>
      </c>
      <c r="M19" s="5">
        <f>(DATA!K47/2)+(DATA!L47/2)</f>
        <v>0</v>
      </c>
      <c r="N19" s="5">
        <f>(DATA!L47/2)+(DATA!M47/2)</f>
        <v>0</v>
      </c>
      <c r="O19" s="6">
        <f t="shared" si="2"/>
        <v>2500</v>
      </c>
    </row>
    <row r="20" spans="1:15" x14ac:dyDescent="0.2">
      <c r="A20" t="s">
        <v>24</v>
      </c>
      <c r="B20" s="5">
        <v>0</v>
      </c>
      <c r="C20" s="5">
        <f>DATA!B48/2</f>
        <v>125</v>
      </c>
      <c r="D20" s="5">
        <f>(DATA!B48/2)+(DATA!C48/2)</f>
        <v>125</v>
      </c>
      <c r="E20" s="5">
        <f>(DATA!C48/2)+(DATA!D48/2)</f>
        <v>0</v>
      </c>
      <c r="F20" s="5">
        <f>(DATA!D48/2)+(DATA!E48/2)</f>
        <v>0</v>
      </c>
      <c r="G20" s="5">
        <f>(DATA!E48/2)+(DATA!F48/2)</f>
        <v>0</v>
      </c>
      <c r="H20" s="5">
        <f>(DATA!F48/2)+(DATA!G48/2)</f>
        <v>0</v>
      </c>
      <c r="I20" s="5">
        <f>(DATA!G48/2)+(DATA!H48/2)</f>
        <v>0</v>
      </c>
      <c r="J20" s="5">
        <f>(DATA!H48/2)+(DATA!I48/2)</f>
        <v>0</v>
      </c>
      <c r="K20" s="5">
        <f>(DATA!I48/2)+(DATA!J48/2)</f>
        <v>0</v>
      </c>
      <c r="L20" s="5">
        <f>(DATA!J48/2)+(DATA!K48/2)</f>
        <v>0</v>
      </c>
      <c r="M20" s="5">
        <f>(DATA!K48/2)+(DATA!L48/2)</f>
        <v>0</v>
      </c>
      <c r="N20" s="5">
        <f>(DATA!L48/2)+(DATA!M48/2)</f>
        <v>0</v>
      </c>
      <c r="O20" s="6">
        <f t="shared" si="2"/>
        <v>250</v>
      </c>
    </row>
    <row r="21" spans="1:15" x14ac:dyDescent="0.2">
      <c r="A21" t="s">
        <v>25</v>
      </c>
      <c r="B21" s="5">
        <v>0</v>
      </c>
      <c r="C21" s="5">
        <f>DATA!B49/2</f>
        <v>125</v>
      </c>
      <c r="D21" s="5">
        <f>(DATA!B49/2)+(DATA!C49/2)</f>
        <v>125</v>
      </c>
      <c r="E21" s="5">
        <f>(DATA!C49/2)+(DATA!D49/2)</f>
        <v>0</v>
      </c>
      <c r="F21" s="5">
        <f>(DATA!D49/2)+(DATA!E49/2)</f>
        <v>0</v>
      </c>
      <c r="G21" s="5">
        <f>(DATA!E49/2)+(DATA!F49/2)</f>
        <v>0</v>
      </c>
      <c r="H21" s="5">
        <f>(DATA!F49/2)+(DATA!G49/2)</f>
        <v>0</v>
      </c>
      <c r="I21" s="5">
        <f>(DATA!G49/2)+(DATA!H49/2)</f>
        <v>0</v>
      </c>
      <c r="J21" s="5">
        <f>(DATA!H49/2)+(DATA!I49/2)</f>
        <v>0</v>
      </c>
      <c r="K21" s="5">
        <f>(DATA!I49/2)+(DATA!J49/2)</f>
        <v>0</v>
      </c>
      <c r="L21" s="5">
        <f>(DATA!J49/2)+(DATA!K49/2)</f>
        <v>0</v>
      </c>
      <c r="M21" s="5">
        <f>(DATA!K49/2)+(DATA!L49/2)</f>
        <v>0</v>
      </c>
      <c r="N21" s="5">
        <f>(DATA!L49/2)+(DATA!M49/2)</f>
        <v>0</v>
      </c>
      <c r="O21" s="6">
        <f t="shared" si="2"/>
        <v>250</v>
      </c>
    </row>
    <row r="22" spans="1:15" x14ac:dyDescent="0.2">
      <c r="A22" t="s">
        <v>26</v>
      </c>
      <c r="B22" s="5">
        <v>0</v>
      </c>
      <c r="C22" s="5">
        <f>DATA!B50/2</f>
        <v>150</v>
      </c>
      <c r="D22" s="5">
        <f>(DATA!B50/2)+(DATA!C50/2)</f>
        <v>300</v>
      </c>
      <c r="E22" s="5">
        <f>(DATA!C50/2)+(DATA!D50/2)</f>
        <v>300</v>
      </c>
      <c r="F22" s="5">
        <f>(DATA!D50/2)+(DATA!E50/2)</f>
        <v>300</v>
      </c>
      <c r="G22" s="5">
        <f>(DATA!E50/2)+(DATA!F50/2)</f>
        <v>300</v>
      </c>
      <c r="H22" s="5">
        <f>(DATA!F50/2)+(DATA!G50/2)</f>
        <v>300</v>
      </c>
      <c r="I22" s="5">
        <f>(DATA!G50/2)+(DATA!H50/2)</f>
        <v>300</v>
      </c>
      <c r="J22" s="5">
        <f>(DATA!H50/2)+(DATA!I50/2)</f>
        <v>300</v>
      </c>
      <c r="K22" s="5">
        <f>(DATA!I50/2)+(DATA!J50/2)</f>
        <v>300</v>
      </c>
      <c r="L22" s="5">
        <f>(DATA!J50/2)+(DATA!K50/2)</f>
        <v>300</v>
      </c>
      <c r="M22" s="5">
        <f>(DATA!K50/2)+(DATA!L50/2)</f>
        <v>300</v>
      </c>
      <c r="N22" s="5">
        <f>(DATA!L50/2)+(DATA!M50/2)</f>
        <v>300</v>
      </c>
      <c r="O22" s="6">
        <f t="shared" si="2"/>
        <v>3450</v>
      </c>
    </row>
    <row r="23" spans="1:15" x14ac:dyDescent="0.2">
      <c r="A23" t="s">
        <v>27</v>
      </c>
      <c r="B23" s="5">
        <v>0</v>
      </c>
      <c r="C23" s="5">
        <f>DATA!B51/2</f>
        <v>185.625</v>
      </c>
      <c r="D23" s="5">
        <f>(DATA!B51/2)+(DATA!C51/2)</f>
        <v>374.98106250000001</v>
      </c>
      <c r="E23" s="5">
        <f>(DATA!C51/2)+(DATA!D51/2)</f>
        <v>382.51818185625001</v>
      </c>
      <c r="F23" s="5">
        <f>(DATA!D51/2)+(DATA!E51/2)</f>
        <v>390.20679731156065</v>
      </c>
      <c r="G23" s="5">
        <f>(DATA!E51/2)+(DATA!F51/2)</f>
        <v>398.04995393752307</v>
      </c>
      <c r="H23" s="5">
        <f>(DATA!F51/2)+(DATA!G51/2)</f>
        <v>406.05075801166731</v>
      </c>
      <c r="I23" s="5">
        <f>(DATA!G51/2)+(DATA!H51/2)</f>
        <v>414.21237824770179</v>
      </c>
      <c r="J23" s="5">
        <f>(DATA!H51/2)+(DATA!I51/2)</f>
        <v>422.5380470504806</v>
      </c>
      <c r="K23" s="5">
        <f>(DATA!I51/2)+(DATA!J51/2)</f>
        <v>431.03106179619522</v>
      </c>
      <c r="L23" s="5">
        <f>(DATA!J51/2)+(DATA!K51/2)</f>
        <v>439.6947861382987</v>
      </c>
      <c r="M23" s="5">
        <f>(DATA!K51/2)+(DATA!L51/2)</f>
        <v>448.53265133967852</v>
      </c>
      <c r="N23" s="5">
        <f>(DATA!L51/2)+(DATA!M51/2)</f>
        <v>457.5481576316061</v>
      </c>
      <c r="O23" s="6">
        <f t="shared" si="2"/>
        <v>4750.9888358209619</v>
      </c>
    </row>
    <row r="24" spans="1:15" x14ac:dyDescent="0.2">
      <c r="A24" t="s">
        <v>28</v>
      </c>
      <c r="B24" s="5">
        <v>0</v>
      </c>
      <c r="C24" s="5">
        <f>DATA!B52/2</f>
        <v>50</v>
      </c>
      <c r="D24" s="5">
        <f>(DATA!B52/2)+(DATA!C52/2)</f>
        <v>100</v>
      </c>
      <c r="E24" s="5">
        <f>(DATA!C52/2)+(DATA!D52/2)</f>
        <v>100</v>
      </c>
      <c r="F24" s="5">
        <f>(DATA!D52/2)+(DATA!E52/2)</f>
        <v>100</v>
      </c>
      <c r="G24" s="5">
        <f>(DATA!E52/2)+(DATA!F52/2)</f>
        <v>100</v>
      </c>
      <c r="H24" s="5">
        <f>(DATA!F52/2)+(DATA!G52/2)</f>
        <v>100</v>
      </c>
      <c r="I24" s="5">
        <f>(DATA!G52/2)+(DATA!H52/2)</f>
        <v>100</v>
      </c>
      <c r="J24" s="5">
        <f>(DATA!H52/2)+(DATA!I52/2)</f>
        <v>100</v>
      </c>
      <c r="K24" s="5">
        <f>(DATA!I52/2)+(DATA!J52/2)</f>
        <v>100</v>
      </c>
      <c r="L24" s="5">
        <f>(DATA!J52/2)+(DATA!K52/2)</f>
        <v>100</v>
      </c>
      <c r="M24" s="5">
        <f>(DATA!K52/2)+(DATA!L52/2)</f>
        <v>100</v>
      </c>
      <c r="N24" s="5">
        <f>(DATA!L52/2)+(DATA!M52/2)</f>
        <v>100</v>
      </c>
      <c r="O24" s="6">
        <f t="shared" si="2"/>
        <v>1150</v>
      </c>
    </row>
    <row r="25" spans="1:15" x14ac:dyDescent="0.2">
      <c r="A25" t="s">
        <v>29</v>
      </c>
      <c r="B25" s="5">
        <v>0</v>
      </c>
      <c r="C25" s="5">
        <f>DATA!B53/2</f>
        <v>50</v>
      </c>
      <c r="D25" s="5">
        <f>(DATA!B53/2)+(DATA!C53/2)</f>
        <v>100</v>
      </c>
      <c r="E25" s="5">
        <f>(DATA!C53/2)+(DATA!D53/2)</f>
        <v>100</v>
      </c>
      <c r="F25" s="5">
        <f>(DATA!D53/2)+(DATA!E53/2)</f>
        <v>100</v>
      </c>
      <c r="G25" s="5">
        <f>(DATA!E53/2)+(DATA!F53/2)</f>
        <v>100</v>
      </c>
      <c r="H25" s="5">
        <f>(DATA!F53/2)+(DATA!G53/2)</f>
        <v>100</v>
      </c>
      <c r="I25" s="5">
        <f>(DATA!G53/2)+(DATA!H53/2)</f>
        <v>100</v>
      </c>
      <c r="J25" s="5">
        <f>(DATA!H53/2)+(DATA!I53/2)</f>
        <v>100</v>
      </c>
      <c r="K25" s="5">
        <f>(DATA!I53/2)+(DATA!J53/2)</f>
        <v>100</v>
      </c>
      <c r="L25" s="5">
        <f>(DATA!J53/2)+(DATA!K53/2)</f>
        <v>100</v>
      </c>
      <c r="M25" s="5">
        <f>(DATA!K53/2)+(DATA!L53/2)</f>
        <v>100</v>
      </c>
      <c r="N25" s="5">
        <f>(DATA!L53/2)+(DATA!M53/2)</f>
        <v>100</v>
      </c>
      <c r="O25" s="6">
        <f t="shared" si="2"/>
        <v>1150</v>
      </c>
    </row>
    <row r="26" spans="1:15" x14ac:dyDescent="0.2">
      <c r="A26" t="s">
        <v>30</v>
      </c>
      <c r="B26" s="5">
        <v>0</v>
      </c>
      <c r="C26" s="5">
        <f>DATA!B54/2</f>
        <v>50</v>
      </c>
      <c r="D26" s="5">
        <f>(DATA!B54/2)+(DATA!C54/2)</f>
        <v>100</v>
      </c>
      <c r="E26" s="5">
        <f>(DATA!C54/2)+(DATA!D54/2)</f>
        <v>100</v>
      </c>
      <c r="F26" s="5">
        <f>(DATA!D54/2)+(DATA!E54/2)</f>
        <v>100</v>
      </c>
      <c r="G26" s="5">
        <f>(DATA!E54/2)+(DATA!F54/2)</f>
        <v>100</v>
      </c>
      <c r="H26" s="5">
        <f>(DATA!F54/2)+(DATA!G54/2)</f>
        <v>100</v>
      </c>
      <c r="I26" s="5">
        <f>(DATA!G54/2)+(DATA!H54/2)</f>
        <v>100</v>
      </c>
      <c r="J26" s="5">
        <f>(DATA!H54/2)+(DATA!I54/2)</f>
        <v>100</v>
      </c>
      <c r="K26" s="5">
        <f>(DATA!I54/2)+(DATA!J54/2)</f>
        <v>100</v>
      </c>
      <c r="L26" s="5">
        <f>(DATA!J54/2)+(DATA!K54/2)</f>
        <v>100</v>
      </c>
      <c r="M26" s="5">
        <f>(DATA!K54/2)+(DATA!L54/2)</f>
        <v>100</v>
      </c>
      <c r="N26" s="5">
        <f>(DATA!L54/2)+(DATA!M54/2)</f>
        <v>100</v>
      </c>
      <c r="O26" s="6">
        <f t="shared" si="2"/>
        <v>1150</v>
      </c>
    </row>
    <row r="27" spans="1:15" x14ac:dyDescent="0.2">
      <c r="A27" t="s">
        <v>31</v>
      </c>
      <c r="B27" s="5">
        <v>0</v>
      </c>
      <c r="C27" s="5">
        <f>DATA!B55/2</f>
        <v>50</v>
      </c>
      <c r="D27" s="5">
        <f>(DATA!B55/2)+(DATA!C55/2)</f>
        <v>100</v>
      </c>
      <c r="E27" s="5">
        <f>(DATA!C55/2)+(DATA!D55/2)</f>
        <v>100</v>
      </c>
      <c r="F27" s="5">
        <f>(DATA!D55/2)+(DATA!E55/2)</f>
        <v>100</v>
      </c>
      <c r="G27" s="5">
        <f>(DATA!E55/2)+(DATA!F55/2)</f>
        <v>100</v>
      </c>
      <c r="H27" s="5">
        <f>(DATA!F55/2)+(DATA!G55/2)</f>
        <v>100</v>
      </c>
      <c r="I27" s="5">
        <f>(DATA!G55/2)+(DATA!H55/2)</f>
        <v>100</v>
      </c>
      <c r="J27" s="5">
        <f>(DATA!H55/2)+(DATA!I55/2)</f>
        <v>100</v>
      </c>
      <c r="K27" s="5">
        <f>(DATA!I55/2)+(DATA!J55/2)</f>
        <v>100</v>
      </c>
      <c r="L27" s="5">
        <f>(DATA!J55/2)+(DATA!K55/2)</f>
        <v>100</v>
      </c>
      <c r="M27" s="5">
        <f>(DATA!K55/2)+(DATA!L55/2)</f>
        <v>100</v>
      </c>
      <c r="N27" s="5">
        <f>(DATA!L55/2)+(DATA!M55/2)</f>
        <v>100</v>
      </c>
      <c r="O27" s="6">
        <f t="shared" si="2"/>
        <v>1150</v>
      </c>
    </row>
    <row r="28" spans="1:15" x14ac:dyDescent="0.2">
      <c r="A28" t="s">
        <v>32</v>
      </c>
      <c r="B28" s="5">
        <v>0</v>
      </c>
      <c r="C28" s="5">
        <f>DATA!B56/2</f>
        <v>50</v>
      </c>
      <c r="D28" s="5">
        <f>(DATA!B56/2)+(DATA!C56/2)</f>
        <v>100</v>
      </c>
      <c r="E28" s="5">
        <f>(DATA!C56/2)+(DATA!D56/2)</f>
        <v>100</v>
      </c>
      <c r="F28" s="5">
        <f>(DATA!D56/2)+(DATA!E56/2)</f>
        <v>100</v>
      </c>
      <c r="G28" s="5">
        <f>(DATA!E56/2)+(DATA!F56/2)</f>
        <v>100</v>
      </c>
      <c r="H28" s="5">
        <f>(DATA!F56/2)+(DATA!G56/2)</f>
        <v>100</v>
      </c>
      <c r="I28" s="5">
        <f>(DATA!G56/2)+(DATA!H56/2)</f>
        <v>100</v>
      </c>
      <c r="J28" s="5">
        <f>(DATA!H56/2)+(DATA!I56/2)</f>
        <v>100</v>
      </c>
      <c r="K28" s="5">
        <f>(DATA!I56/2)+(DATA!J56/2)</f>
        <v>100</v>
      </c>
      <c r="L28" s="5">
        <f>(DATA!J56/2)+(DATA!K56/2)</f>
        <v>100</v>
      </c>
      <c r="M28" s="5">
        <f>(DATA!K56/2)+(DATA!L56/2)</f>
        <v>100</v>
      </c>
      <c r="N28" s="5">
        <f>(DATA!L56/2)+(DATA!M56/2)</f>
        <v>100</v>
      </c>
      <c r="O28" s="6">
        <f t="shared" si="2"/>
        <v>1150</v>
      </c>
    </row>
    <row r="29" spans="1:15" x14ac:dyDescent="0.2">
      <c r="A29" t="s">
        <v>33</v>
      </c>
      <c r="B29" s="5">
        <v>0</v>
      </c>
      <c r="C29" s="5">
        <f>DATA!B57/2</f>
        <v>50</v>
      </c>
      <c r="D29" s="5">
        <f>(DATA!B57/2)+(DATA!C57/2)</f>
        <v>100</v>
      </c>
      <c r="E29" s="5">
        <f>(DATA!C57/2)+(DATA!D57/2)</f>
        <v>100</v>
      </c>
      <c r="F29" s="5">
        <f>(DATA!D57/2)+(DATA!E57/2)</f>
        <v>100</v>
      </c>
      <c r="G29" s="5">
        <f>(DATA!E57/2)+(DATA!F57/2)</f>
        <v>100</v>
      </c>
      <c r="H29" s="5">
        <f>(DATA!F57/2)+(DATA!G57/2)</f>
        <v>100</v>
      </c>
      <c r="I29" s="5">
        <f>(DATA!G57/2)+(DATA!H57/2)</f>
        <v>100</v>
      </c>
      <c r="J29" s="5">
        <f>(DATA!H57/2)+(DATA!I57/2)</f>
        <v>100</v>
      </c>
      <c r="K29" s="5">
        <f>(DATA!I57/2)+(DATA!J57/2)</f>
        <v>100</v>
      </c>
      <c r="L29" s="5">
        <f>(DATA!J57/2)+(DATA!K57/2)</f>
        <v>100</v>
      </c>
      <c r="M29" s="5">
        <f>(DATA!K57/2)+(DATA!L57/2)</f>
        <v>100</v>
      </c>
      <c r="N29" s="5">
        <f>(DATA!L57/2)+(DATA!M57/2)</f>
        <v>100</v>
      </c>
      <c r="O29" s="6">
        <f t="shared" si="2"/>
        <v>1150</v>
      </c>
    </row>
    <row r="30" spans="1:15" x14ac:dyDescent="0.2">
      <c r="A30" t="s">
        <v>34</v>
      </c>
      <c r="B30" s="5">
        <v>0</v>
      </c>
      <c r="C30" s="5">
        <f>DATA!B58/2</f>
        <v>25</v>
      </c>
      <c r="D30" s="5">
        <f>(DATA!B58/2)+(DATA!C58/2)</f>
        <v>50</v>
      </c>
      <c r="E30" s="5">
        <f>(DATA!C58/2)+(DATA!D58/2)</f>
        <v>50</v>
      </c>
      <c r="F30" s="5">
        <f>(DATA!D58/2)+(DATA!E58/2)</f>
        <v>50</v>
      </c>
      <c r="G30" s="5">
        <f>(DATA!E58/2)+(DATA!F58/2)</f>
        <v>50</v>
      </c>
      <c r="H30" s="5">
        <f>(DATA!F58/2)+(DATA!G58/2)</f>
        <v>50</v>
      </c>
      <c r="I30" s="5">
        <f>(DATA!G58/2)+(DATA!H58/2)</f>
        <v>50</v>
      </c>
      <c r="J30" s="5">
        <f>(DATA!H58/2)+(DATA!I58/2)</f>
        <v>50</v>
      </c>
      <c r="K30" s="5">
        <f>(DATA!I58/2)+(DATA!J58/2)</f>
        <v>50</v>
      </c>
      <c r="L30" s="5">
        <f>(DATA!J58/2)+(DATA!K58/2)</f>
        <v>50</v>
      </c>
      <c r="M30" s="5">
        <f>(DATA!K58/2)+(DATA!L58/2)</f>
        <v>50</v>
      </c>
      <c r="N30" s="5">
        <f>(DATA!L58/2)+(DATA!M58/2)</f>
        <v>50</v>
      </c>
      <c r="O30" s="6">
        <f t="shared" si="2"/>
        <v>575</v>
      </c>
    </row>
    <row r="31" spans="1:15" x14ac:dyDescent="0.2">
      <c r="A31" t="s">
        <v>35</v>
      </c>
      <c r="B31" s="5">
        <v>0</v>
      </c>
      <c r="C31" s="5">
        <f>DATA!B59/2</f>
        <v>0</v>
      </c>
      <c r="D31" s="5">
        <f>(DATA!B59/2)+(DATA!C59/2)</f>
        <v>0</v>
      </c>
      <c r="E31" s="5">
        <f>(DATA!C59/2)+(DATA!D59/2)</f>
        <v>0</v>
      </c>
      <c r="F31" s="5">
        <f>(DATA!D59/2)+(DATA!E59/2)</f>
        <v>0</v>
      </c>
      <c r="G31" s="5">
        <f>(DATA!E59/2)+(DATA!F59/2)</f>
        <v>0</v>
      </c>
      <c r="H31" s="5">
        <f>(DATA!F59/2)+(DATA!G59/2)</f>
        <v>0</v>
      </c>
      <c r="I31" s="5">
        <f>(DATA!G59/2)+(DATA!H59/2)</f>
        <v>0</v>
      </c>
      <c r="J31" s="5">
        <f>(DATA!H59/2)+(DATA!I59/2)</f>
        <v>0</v>
      </c>
      <c r="K31" s="5">
        <f>(DATA!I59/2)+(DATA!J59/2)</f>
        <v>0</v>
      </c>
      <c r="L31" s="5">
        <f>(DATA!J59/2)+(DATA!K59/2)</f>
        <v>0</v>
      </c>
      <c r="M31" s="5">
        <f>(DATA!K59/2)+(DATA!L59/2)</f>
        <v>0</v>
      </c>
      <c r="N31" s="5">
        <f>(DATA!L59/2)+(DATA!M59/2)</f>
        <v>0</v>
      </c>
      <c r="O31" s="6">
        <f t="shared" si="2"/>
        <v>0</v>
      </c>
    </row>
    <row r="32" spans="1:15" x14ac:dyDescent="0.2">
      <c r="A32" t="s">
        <v>86</v>
      </c>
      <c r="B32" s="5">
        <v>0</v>
      </c>
      <c r="C32" s="5">
        <f>SalaryModule!B10</f>
        <v>0</v>
      </c>
      <c r="D32" s="5">
        <f>SalaryModule!C10</f>
        <v>0</v>
      </c>
      <c r="E32" s="5">
        <f>SalaryModule!D10</f>
        <v>0</v>
      </c>
      <c r="F32" s="5">
        <f>SalaryModule!E10</f>
        <v>0</v>
      </c>
      <c r="G32" s="5">
        <f>SalaryModule!F10</f>
        <v>0</v>
      </c>
      <c r="H32" s="5">
        <f>SalaryModule!G10</f>
        <v>0</v>
      </c>
      <c r="I32" s="5">
        <f>SalaryModule!H10</f>
        <v>0</v>
      </c>
      <c r="J32" s="5">
        <f>SalaryModule!I10</f>
        <v>0</v>
      </c>
      <c r="K32" s="5">
        <f>SalaryModule!J10</f>
        <v>0</v>
      </c>
      <c r="L32" s="5">
        <f>SalaryModule!K10</f>
        <v>0</v>
      </c>
      <c r="M32" s="5">
        <f>SalaryModule!L10</f>
        <v>0</v>
      </c>
      <c r="N32" s="5">
        <f>SalaryModule!M10</f>
        <v>0</v>
      </c>
      <c r="O32" s="6">
        <f t="shared" si="2"/>
        <v>0</v>
      </c>
    </row>
    <row r="33" spans="1:15" x14ac:dyDescent="0.2">
      <c r="A33" t="s">
        <v>87</v>
      </c>
      <c r="B33" s="5">
        <v>0</v>
      </c>
      <c r="C33" s="5">
        <f>LoanModule!D9</f>
        <v>300</v>
      </c>
      <c r="D33" s="5">
        <f>LoanModule!D10</f>
        <v>295.91708171347585</v>
      </c>
      <c r="E33" s="5">
        <f>LoanModule!D11</f>
        <v>291.80694397170828</v>
      </c>
      <c r="F33" s="5">
        <f>LoanModule!D12</f>
        <v>287.66940531166222</v>
      </c>
      <c r="G33" s="5">
        <f>LoanModule!D13</f>
        <v>283.5042830605492</v>
      </c>
      <c r="H33" s="5">
        <f>LoanModule!D14</f>
        <v>279.31139332776212</v>
      </c>
      <c r="I33" s="5">
        <f>LoanModule!D15</f>
        <v>275.09055099675641</v>
      </c>
      <c r="J33" s="5">
        <f>LoanModule!D16</f>
        <v>270.84156971687736</v>
      </c>
      <c r="K33" s="5">
        <f>LoanModule!D17</f>
        <v>266.5642618951324</v>
      </c>
      <c r="L33" s="5">
        <f>LoanModule!D18</f>
        <v>262.25843868790918</v>
      </c>
      <c r="M33" s="5">
        <f>LoanModule!D19</f>
        <v>257.92390999263779</v>
      </c>
      <c r="N33" s="5">
        <f>LoanModule!D20</f>
        <v>253.56048443939792</v>
      </c>
      <c r="O33" s="6">
        <f t="shared" si="2"/>
        <v>3324.4483231138688</v>
      </c>
    </row>
    <row r="34" spans="1:15" x14ac:dyDescent="0.2">
      <c r="A34" t="s">
        <v>104</v>
      </c>
      <c r="B34" s="5">
        <v>0</v>
      </c>
      <c r="C34" s="5">
        <f>LoanModule!E9</f>
        <v>612.43774297861557</v>
      </c>
      <c r="D34" s="5">
        <f>LoanModule!E10</f>
        <v>616.52066126513978</v>
      </c>
      <c r="E34" s="5">
        <f>LoanModule!E11</f>
        <v>620.6307990069073</v>
      </c>
      <c r="F34" s="5">
        <f>LoanModule!E12</f>
        <v>624.76833766695336</v>
      </c>
      <c r="G34" s="5">
        <f>LoanModule!E13</f>
        <v>628.93345991806632</v>
      </c>
      <c r="H34" s="5">
        <f>LoanModule!E14</f>
        <v>633.1263496508534</v>
      </c>
      <c r="I34" s="5">
        <f>LoanModule!E15</f>
        <v>637.34719198185917</v>
      </c>
      <c r="J34" s="5">
        <f>LoanModule!E16</f>
        <v>641.59617326173816</v>
      </c>
      <c r="K34" s="5">
        <f>LoanModule!E17</f>
        <v>645.87348108348317</v>
      </c>
      <c r="L34" s="5">
        <f>LoanModule!E18</f>
        <v>650.17930429070634</v>
      </c>
      <c r="M34" s="5">
        <f>LoanModule!E19</f>
        <v>654.51383298597784</v>
      </c>
      <c r="N34" s="5">
        <f>LoanModule!E20</f>
        <v>658.87725853921768</v>
      </c>
      <c r="O34" s="6">
        <f t="shared" si="2"/>
        <v>7624.8045926295181</v>
      </c>
    </row>
    <row r="35" spans="1:15" x14ac:dyDescent="0.2">
      <c r="A35" t="s">
        <v>18</v>
      </c>
      <c r="B35" s="5">
        <v>0</v>
      </c>
      <c r="C35" s="5">
        <f>DATA!B41</f>
        <v>0</v>
      </c>
      <c r="D35" s="5">
        <f>DATA!C41</f>
        <v>0</v>
      </c>
      <c r="E35" s="5">
        <f>DATA!D41</f>
        <v>0</v>
      </c>
      <c r="F35" s="5">
        <f>DATA!E41</f>
        <v>0</v>
      </c>
      <c r="G35" s="5">
        <f>DATA!F41</f>
        <v>0</v>
      </c>
      <c r="H35" s="5">
        <f>DATA!G41</f>
        <v>0</v>
      </c>
      <c r="I35" s="5">
        <f>DATA!H41</f>
        <v>0</v>
      </c>
      <c r="J35" s="5">
        <f>DATA!I41</f>
        <v>0</v>
      </c>
      <c r="K35" s="5">
        <f>DATA!J41</f>
        <v>0</v>
      </c>
      <c r="L35" s="5">
        <f>DATA!K41</f>
        <v>0</v>
      </c>
      <c r="M35" s="5">
        <f>DATA!L41</f>
        <v>0</v>
      </c>
      <c r="N35" s="5">
        <f>DATA!M41</f>
        <v>0</v>
      </c>
      <c r="O35" s="6">
        <f t="shared" si="2"/>
        <v>0</v>
      </c>
    </row>
    <row r="36" spans="1:15" x14ac:dyDescent="0.2">
      <c r="A36" t="s">
        <v>105</v>
      </c>
      <c r="B36" s="5">
        <f>SUM(StartupCosts!B3:B4)</f>
        <v>17500</v>
      </c>
      <c r="C36" s="5">
        <f>IF(DATA!E19=C5,DATA!B19,0)+IF(DATA!E22=C5,DATA!B22,0)</f>
        <v>0</v>
      </c>
      <c r="D36" s="5">
        <f>IF(DATA!E19=D5,DATA!B19,0)+IF(DATA!E22=D5,DATA!B22,0)</f>
        <v>0</v>
      </c>
      <c r="E36" s="5">
        <f>IF(DATA!E19=E5,DATA!B19,0)+IF(DATA!E22=E5,DATA!B22,0)</f>
        <v>0</v>
      </c>
      <c r="F36" s="5">
        <f>IF(DATA!E19=F5,DATA!B19,0)+IF(DATA!E22=F5,DATA!B22,0)</f>
        <v>0</v>
      </c>
      <c r="G36" s="5">
        <f>IF(DATA!E19=G5,DATA!B19,0)+IF(DATA!E22=G5,DATA!B22,0)</f>
        <v>0</v>
      </c>
      <c r="H36" s="5">
        <f>IF(DATA!E19=H5,DATA!B19,0)+IF(DATA!E22=H5,DATA!B22,0)</f>
        <v>0</v>
      </c>
      <c r="I36" s="5">
        <f>IF(DATA!E19=I5,DATA!B19,0)+IF(DATA!E22=I5,DATA!B22,0)</f>
        <v>0</v>
      </c>
      <c r="J36" s="5">
        <f>IF(DATA!E19=J5,DATA!B19,0)+IF(DATA!E22=J5,DATA!B22,0)</f>
        <v>0</v>
      </c>
      <c r="K36" s="5">
        <f>IF(DATA!E19=K5,DATA!B19,0)+IF(DATA!E22=K5,DATA!B22,0)</f>
        <v>0</v>
      </c>
      <c r="L36" s="5">
        <f>IF(DATA!E19=L5,DATA!B19,0)+IF(DATA!E22=L5,DATA!B22,0)</f>
        <v>0</v>
      </c>
      <c r="M36" s="5">
        <f>IF(DATA!E19=M5,DATA!B19,0)+IF(DATA!E22=M5,DATA!B22,0)</f>
        <v>0</v>
      </c>
      <c r="N36" s="5">
        <f>IF(DATA!E19=N5,DATA!B19,0)+IF(DATA!E22=N5,DATA!B22,0)</f>
        <v>0</v>
      </c>
      <c r="O36" s="6">
        <f t="shared" si="2"/>
        <v>17500</v>
      </c>
    </row>
    <row r="37" spans="1:15" x14ac:dyDescent="0.2">
      <c r="A37" t="s">
        <v>106</v>
      </c>
      <c r="B37" s="5">
        <v>0</v>
      </c>
      <c r="C37" s="5">
        <f>(DATA!B61*DATA!B66)/2</f>
        <v>0</v>
      </c>
      <c r="D37" s="5">
        <f>((DATA!B61*DATA!B66)/2)+((DATA!B61*DATA!C66)/2)</f>
        <v>0</v>
      </c>
      <c r="E37" s="5">
        <f>((DATA!B61*DATA!C66)/2)+((DATA!B61*DATA!D66)/2)</f>
        <v>0</v>
      </c>
      <c r="F37" s="5">
        <f>((DATA!B61*DATA!D66)/2)+((DATA!B61*DATA!E66)/2)</f>
        <v>0</v>
      </c>
      <c r="G37" s="5">
        <f>((DATA!B61*DATA!E66)/2)+((DATA!B61*DATA!F66)/2)</f>
        <v>0</v>
      </c>
      <c r="H37" s="5">
        <f>((DATA!B61*DATA!F66)/2)+((DATA!B61*DATA!G66)/2)</f>
        <v>0</v>
      </c>
      <c r="I37" s="5">
        <f>((DATA!B61*DATA!G66)/2)+((DATA!B61*DATA!H66)/2)</f>
        <v>0</v>
      </c>
      <c r="J37" s="5">
        <f>((DATA!B61*DATA!H66)/2)+((DATA!B61*DATA!I66)/2)</f>
        <v>0</v>
      </c>
      <c r="K37" s="5">
        <f>((DATA!B61*DATA!I66)/2)+((DATA!B61*DATA!J66)/2)</f>
        <v>0</v>
      </c>
      <c r="L37" s="5">
        <f>((DATA!B61*DATA!J66)/2)+((DATA!B61*DATA!K66)/2)</f>
        <v>0</v>
      </c>
      <c r="M37" s="5">
        <f>((DATA!B61*DATA!K66)/2)+((DATA!B61*DATA!L66)/2)</f>
        <v>0</v>
      </c>
      <c r="N37" s="5">
        <f>((DATA!B61*DATA!L66)/2)+((DATA!B61*DATA!M66)/2)</f>
        <v>0</v>
      </c>
      <c r="O37" s="6">
        <f t="shared" si="2"/>
        <v>0</v>
      </c>
    </row>
    <row r="38" spans="1:15" x14ac:dyDescent="0.2">
      <c r="A38" t="s">
        <v>92</v>
      </c>
      <c r="B38" s="5">
        <v>0</v>
      </c>
      <c r="C38" s="5">
        <f>IncomeStatement_Year1!B41</f>
        <v>0</v>
      </c>
      <c r="D38" s="5">
        <f>IncomeStatement_Year1!C41</f>
        <v>0</v>
      </c>
      <c r="E38" s="5">
        <f>IncomeStatement_Year1!D41</f>
        <v>0</v>
      </c>
      <c r="F38" s="5">
        <f>IncomeStatement_Year1!E41</f>
        <v>0</v>
      </c>
      <c r="G38" s="5">
        <f>IncomeStatement_Year1!F41</f>
        <v>0</v>
      </c>
      <c r="H38" s="5">
        <f>IncomeStatement_Year1!G41</f>
        <v>0</v>
      </c>
      <c r="I38" s="5">
        <f>IncomeStatement_Year1!H41</f>
        <v>0</v>
      </c>
      <c r="J38" s="5">
        <f>IncomeStatement_Year1!I41</f>
        <v>0</v>
      </c>
      <c r="K38" s="5">
        <f>IncomeStatement_Year1!J41</f>
        <v>0</v>
      </c>
      <c r="L38" s="5">
        <f>IncomeStatement_Year1!K41</f>
        <v>0</v>
      </c>
      <c r="M38" s="5">
        <f>IncomeStatement_Year1!L41</f>
        <v>0</v>
      </c>
      <c r="N38" s="5">
        <f>IncomeStatement_Year1!M41</f>
        <v>0</v>
      </c>
      <c r="O38" s="6">
        <f t="shared" si="2"/>
        <v>0</v>
      </c>
    </row>
    <row r="39" spans="1:15" x14ac:dyDescent="0.2">
      <c r="A39" t="s">
        <v>107</v>
      </c>
      <c r="B39" s="5">
        <v>0</v>
      </c>
      <c r="C39" s="5">
        <f>StartupCosts!B5-(IncomeStatement_Year1!B10*DATA!B3)</f>
        <v>-1012.4999999999999</v>
      </c>
      <c r="D39" s="5">
        <f>IncomeStatement_Year1!B10*DATA!B3-IncomeStatement_Year1!C10*DATA!B3</f>
        <v>-20.35125000000005</v>
      </c>
      <c r="E39" s="5">
        <f>IncomeStatement_Year1!C10*DATA!B3-IncomeStatement_Year1!D10*DATA!B3</f>
        <v>-20.76031012500016</v>
      </c>
      <c r="F39" s="5">
        <f>IncomeStatement_Year1!D10*DATA!B3-IncomeStatement_Year1!E10*DATA!B3</f>
        <v>-21.177592358512356</v>
      </c>
      <c r="G39" s="5">
        <f>IncomeStatement_Year1!E10*DATA!B3-IncomeStatement_Year1!F10*DATA!B3</f>
        <v>-21.603261964918829</v>
      </c>
      <c r="H39" s="5">
        <f>IncomeStatement_Year1!F10*DATA!B3-IncomeStatement_Year1!G10*DATA!B3</f>
        <v>-22.0374875304135</v>
      </c>
      <c r="I39" s="5">
        <f>IncomeStatement_Year1!G10*DATA!B3-IncomeStatement_Year1!H10*DATA!B3</f>
        <v>-22.480441029774511</v>
      </c>
      <c r="J39" s="5">
        <f>IncomeStatement_Year1!H10*DATA!B3-IncomeStatement_Year1!I10*DATA!B3</f>
        <v>-22.932297894473322</v>
      </c>
      <c r="K39" s="5">
        <f>IncomeStatement_Year1!I10*DATA!B3-IncomeStatement_Year1!J10*DATA!B3</f>
        <v>-23.393237082152154</v>
      </c>
      <c r="L39" s="5">
        <f>IncomeStatement_Year1!J10*DATA!B3-IncomeStatement_Year1!K10*DATA!B3</f>
        <v>-23.863441147503409</v>
      </c>
      <c r="M39" s="5">
        <f>IncomeStatement_Year1!K10*DATA!B3-IncomeStatement_Year1!L10*DATA!B3</f>
        <v>-24.343096314568356</v>
      </c>
      <c r="N39" s="5">
        <f>IncomeStatement_Year1!L10*DATA!B3-IncomeStatement_Year1!M10*DATA!B3</f>
        <v>-24.832392550491249</v>
      </c>
      <c r="O39" s="6">
        <f t="shared" si="2"/>
        <v>-1260.2748079978078</v>
      </c>
    </row>
    <row r="40" spans="1:15" x14ac:dyDescent="0.2">
      <c r="A40" s="4" t="s">
        <v>108</v>
      </c>
      <c r="B40" s="8">
        <f t="shared" ref="B40:N40" si="3">SUM(B15:B38)-B39</f>
        <v>17500</v>
      </c>
      <c r="C40" s="8">
        <f t="shared" si="3"/>
        <v>8488.0627429786146</v>
      </c>
      <c r="D40" s="8">
        <f t="shared" si="3"/>
        <v>12653.245305478615</v>
      </c>
      <c r="E40" s="8">
        <f t="shared" si="3"/>
        <v>11344.110037484867</v>
      </c>
      <c r="F40" s="8">
        <f t="shared" si="3"/>
        <v>11539.117625604444</v>
      </c>
      <c r="G40" s="8">
        <f t="shared" si="3"/>
        <v>11738.366664995223</v>
      </c>
      <c r="H40" s="8">
        <f t="shared" si="3"/>
        <v>11941.958498765254</v>
      </c>
      <c r="I40" s="8">
        <f t="shared" si="3"/>
        <v>12149.997311515939</v>
      </c>
      <c r="J40" s="8">
        <f t="shared" si="3"/>
        <v>12362.590226680883</v>
      </c>
      <c r="K40" s="8">
        <f t="shared" si="3"/>
        <v>12579.847407832513</v>
      </c>
      <c r="L40" s="8">
        <f t="shared" si="3"/>
        <v>12801.882164136745</v>
      </c>
      <c r="M40" s="8">
        <f t="shared" si="3"/>
        <v>13028.81106014473</v>
      </c>
      <c r="N40" s="8">
        <f t="shared" si="3"/>
        <v>13260.754030119613</v>
      </c>
      <c r="O40" s="8">
        <f t="shared" si="2"/>
        <v>161388.74307573744</v>
      </c>
    </row>
    <row r="42" spans="1:15" x14ac:dyDescent="0.2">
      <c r="A42" s="4" t="s">
        <v>109</v>
      </c>
      <c r="B42" s="9">
        <f t="shared" ref="B42:N42" si="4">B12-B40</f>
        <v>-17500</v>
      </c>
      <c r="C42" s="9">
        <f t="shared" si="4"/>
        <v>5011.9372570213854</v>
      </c>
      <c r="D42" s="9">
        <f t="shared" si="4"/>
        <v>1118.1046945213857</v>
      </c>
      <c r="E42" s="9">
        <f t="shared" si="4"/>
        <v>2704.0440975151341</v>
      </c>
      <c r="F42" s="9">
        <f t="shared" si="4"/>
        <v>2791.4044075090569</v>
      </c>
      <c r="G42" s="9">
        <f t="shared" si="4"/>
        <v>2880.1988609838627</v>
      </c>
      <c r="H42" s="9">
        <f t="shared" si="4"/>
        <v>2970.4401942860095</v>
      </c>
      <c r="I42" s="9">
        <f t="shared" si="4"/>
        <v>3062.1405952656532</v>
      </c>
      <c r="J42" s="9">
        <f t="shared" si="4"/>
        <v>3155.3116520270196</v>
      </c>
      <c r="K42" s="9">
        <f t="shared" si="4"/>
        <v>3249.9642986374183</v>
      </c>
      <c r="L42" s="9">
        <f t="shared" si="4"/>
        <v>3346.108757633232</v>
      </c>
      <c r="M42" s="9">
        <f t="shared" si="4"/>
        <v>3443.7544791528235</v>
      </c>
      <c r="N42" s="9">
        <f t="shared" si="4"/>
        <v>3542.9100765178227</v>
      </c>
      <c r="O42" s="9">
        <f>SUM(B42:N42)</f>
        <v>19776.319371070804</v>
      </c>
    </row>
    <row r="44" spans="1:15" x14ac:dyDescent="0.2">
      <c r="A44" s="4" t="s">
        <v>110</v>
      </c>
      <c r="B44" s="6">
        <f>B42</f>
        <v>-17500</v>
      </c>
      <c r="C44" s="6">
        <f t="shared" ref="C44:N44" si="5">B44+C42</f>
        <v>-12488.062742978615</v>
      </c>
      <c r="D44" s="6">
        <f t="shared" si="5"/>
        <v>-11369.958048457229</v>
      </c>
      <c r="E44" s="6">
        <f t="shared" si="5"/>
        <v>-8665.9139509420947</v>
      </c>
      <c r="F44" s="6">
        <f t="shared" si="5"/>
        <v>-5874.5095434330378</v>
      </c>
      <c r="G44" s="6">
        <f t="shared" si="5"/>
        <v>-2994.3106824491751</v>
      </c>
      <c r="H44" s="6">
        <f t="shared" si="5"/>
        <v>-23.870488163165646</v>
      </c>
      <c r="I44" s="6">
        <f t="shared" si="5"/>
        <v>3038.2701071024876</v>
      </c>
      <c r="J44" s="6">
        <f t="shared" si="5"/>
        <v>6193.5817591295072</v>
      </c>
      <c r="K44" s="6">
        <f t="shared" si="5"/>
        <v>9443.5460577669255</v>
      </c>
      <c r="L44" s="6">
        <f t="shared" si="5"/>
        <v>12789.654815400158</v>
      </c>
      <c r="M44" s="6">
        <f t="shared" si="5"/>
        <v>16233.409294552981</v>
      </c>
      <c r="N44" s="6">
        <f t="shared" si="5"/>
        <v>19776.319371070804</v>
      </c>
      <c r="O44" s="6">
        <f>N44</f>
        <v>19776.319371070804</v>
      </c>
    </row>
    <row r="49" spans="1:1" x14ac:dyDescent="0.2">
      <c r="A49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9"/>
  <sheetViews>
    <sheetView topLeftCell="A13" workbookViewId="0">
      <selection activeCell="N33" sqref="N33"/>
    </sheetView>
  </sheetViews>
  <sheetFormatPr baseColWidth="10" defaultColWidth="8.83203125" defaultRowHeight="15" x14ac:dyDescent="0.2"/>
  <cols>
    <col min="1" max="1" width="29.5" bestFit="1" customWidth="1"/>
    <col min="2" max="12" width="9.33203125" bestFit="1" customWidth="1"/>
    <col min="13" max="13" width="10.5" bestFit="1" customWidth="1"/>
    <col min="14" max="14" width="8.1640625" bestFit="1" customWidth="1"/>
  </cols>
  <sheetData>
    <row r="1" spans="1:14" x14ac:dyDescent="0.2">
      <c r="A1" t="str">
        <f>DATA!B1</f>
        <v>Example Food Truck</v>
      </c>
    </row>
    <row r="2" spans="1:14" x14ac:dyDescent="0.2">
      <c r="A2" t="s">
        <v>97</v>
      </c>
    </row>
    <row r="3" spans="1:14" x14ac:dyDescent="0.2">
      <c r="A3" t="s">
        <v>95</v>
      </c>
    </row>
    <row r="5" spans="1:14" x14ac:dyDescent="0.2"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95</v>
      </c>
    </row>
    <row r="7" spans="1:14" x14ac:dyDescent="0.2">
      <c r="A7" s="4" t="s">
        <v>98</v>
      </c>
      <c r="B7" s="5">
        <f>CashFlowStatement_Year1!N7+CashFlowStatement_Year1!N42</f>
        <v>37276.319371070807</v>
      </c>
      <c r="C7" s="5">
        <f t="shared" ref="C7:M7" si="0">B7+B42</f>
        <v>40919.902629145683</v>
      </c>
      <c r="D7" s="5">
        <f t="shared" si="0"/>
        <v>44665.683384246149</v>
      </c>
      <c r="E7" s="5">
        <f t="shared" si="0"/>
        <v>48515.191629807661</v>
      </c>
      <c r="F7" s="5">
        <f t="shared" si="0"/>
        <v>52469.96190332096</v>
      </c>
      <c r="G7" s="5">
        <f t="shared" si="0"/>
        <v>56531.532067226981</v>
      </c>
      <c r="H7" s="5">
        <f t="shared" si="0"/>
        <v>60701.441999785675</v>
      </c>
      <c r="I7" s="5">
        <f t="shared" si="0"/>
        <v>64981.232190833187</v>
      </c>
      <c r="J7" s="5">
        <f t="shared" si="0"/>
        <v>69372.442237075666</v>
      </c>
      <c r="K7" s="5">
        <f t="shared" si="0"/>
        <v>73876.609231288574</v>
      </c>
      <c r="L7" s="5">
        <f t="shared" si="0"/>
        <v>78495.266039496477</v>
      </c>
      <c r="M7" s="5">
        <f t="shared" si="0"/>
        <v>83229.939459899557</v>
      </c>
      <c r="N7" s="6">
        <f>M7</f>
        <v>83229.939459899557</v>
      </c>
    </row>
    <row r="9" spans="1:14" x14ac:dyDescent="0.2">
      <c r="A9" s="4" t="s">
        <v>99</v>
      </c>
    </row>
    <row r="10" spans="1:14" x14ac:dyDescent="0.2">
      <c r="A10" t="s">
        <v>44</v>
      </c>
      <c r="B10" s="5">
        <f>DATA!N72</f>
        <v>17141.417755180853</v>
      </c>
      <c r="C10" s="5">
        <f>DATA!O72</f>
        <v>17485.960252059984</v>
      </c>
      <c r="D10" s="5">
        <f>DATA!P72</f>
        <v>17837.42805312639</v>
      </c>
      <c r="E10" s="5">
        <f>DATA!Q72</f>
        <v>18195.96035699423</v>
      </c>
      <c r="F10" s="5">
        <f>DATA!R72</f>
        <v>18561.699160169814</v>
      </c>
      <c r="G10" s="5">
        <f>DATA!S72</f>
        <v>18934.789313289228</v>
      </c>
      <c r="H10" s="5">
        <f>DATA!T72</f>
        <v>19315.378578486343</v>
      </c>
      <c r="I10" s="5">
        <f>DATA!U72</f>
        <v>19703.61768791392</v>
      </c>
      <c r="J10" s="5">
        <f>DATA!V72</f>
        <v>20099.66040344099</v>
      </c>
      <c r="K10" s="5">
        <f>DATA!W72</f>
        <v>20503.663577550156</v>
      </c>
      <c r="L10" s="5">
        <f>DATA!X72</f>
        <v>20915.787215458917</v>
      </c>
      <c r="M10" s="5">
        <f>DATA!Y72</f>
        <v>21336.194538489643</v>
      </c>
      <c r="N10" s="6">
        <f>SUM(B10:M10)</f>
        <v>230031.5568921605</v>
      </c>
    </row>
    <row r="11" spans="1:14" x14ac:dyDescent="0.2">
      <c r="A11" t="s">
        <v>72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6">
        <f>SUM(B11:M11)</f>
        <v>0</v>
      </c>
    </row>
    <row r="12" spans="1:14" x14ac:dyDescent="0.2">
      <c r="A12" s="4" t="s">
        <v>100</v>
      </c>
      <c r="B12" s="8">
        <f t="shared" ref="B12:M12" si="1">SUM(B10:B11)</f>
        <v>17141.417755180853</v>
      </c>
      <c r="C12" s="8">
        <f t="shared" si="1"/>
        <v>17485.960252059984</v>
      </c>
      <c r="D12" s="8">
        <f t="shared" si="1"/>
        <v>17837.42805312639</v>
      </c>
      <c r="E12" s="8">
        <f t="shared" si="1"/>
        <v>18195.96035699423</v>
      </c>
      <c r="F12" s="8">
        <f t="shared" si="1"/>
        <v>18561.699160169814</v>
      </c>
      <c r="G12" s="8">
        <f t="shared" si="1"/>
        <v>18934.789313289228</v>
      </c>
      <c r="H12" s="8">
        <f t="shared" si="1"/>
        <v>19315.378578486343</v>
      </c>
      <c r="I12" s="8">
        <f t="shared" si="1"/>
        <v>19703.61768791392</v>
      </c>
      <c r="J12" s="8">
        <f t="shared" si="1"/>
        <v>20099.66040344099</v>
      </c>
      <c r="K12" s="8">
        <f t="shared" si="1"/>
        <v>20503.663577550156</v>
      </c>
      <c r="L12" s="8">
        <f t="shared" si="1"/>
        <v>20915.787215458917</v>
      </c>
      <c r="M12" s="8">
        <f t="shared" si="1"/>
        <v>21336.194538489643</v>
      </c>
      <c r="N12" s="8">
        <f>SUM(B12:M12)</f>
        <v>230031.5568921605</v>
      </c>
    </row>
    <row r="14" spans="1:14" x14ac:dyDescent="0.2">
      <c r="A14" s="4" t="s">
        <v>101</v>
      </c>
    </row>
    <row r="15" spans="1:14" x14ac:dyDescent="0.2">
      <c r="A15" t="s">
        <v>102</v>
      </c>
      <c r="B15" s="5">
        <f>(DATA!M67/2)+(DATA!N67/2)</f>
        <v>5091.7622792727434</v>
      </c>
      <c r="C15" s="5">
        <f>(DATA!N67/2)+(DATA!O67/2)</f>
        <v>5194.1067010861261</v>
      </c>
      <c r="D15" s="5">
        <f>(DATA!O67/2)+(DATA!P67/2)</f>
        <v>5298.5082457779554</v>
      </c>
      <c r="E15" s="5">
        <f>(DATA!P67/2)+(DATA!Q67/2)</f>
        <v>5405.0082615180927</v>
      </c>
      <c r="F15" s="5">
        <f>(DATA!Q67/2)+(DATA!R67/2)</f>
        <v>5513.6489275746062</v>
      </c>
      <c r="G15" s="5">
        <f>(DATA!R67/2)+(DATA!S67/2)</f>
        <v>5624.4732710188564</v>
      </c>
      <c r="H15" s="5">
        <f>(DATA!S67/2)+(DATA!T67/2)</f>
        <v>5737.5251837663354</v>
      </c>
      <c r="I15" s="5">
        <f>(DATA!T67/2)+(DATA!U67/2)</f>
        <v>5852.8494399600386</v>
      </c>
      <c r="J15" s="5">
        <f>(DATA!U67/2)+(DATA!V67/2)</f>
        <v>5970.4917137032362</v>
      </c>
      <c r="K15" s="5">
        <f>(DATA!V67/2)+(DATA!W67/2)</f>
        <v>6090.4985971486713</v>
      </c>
      <c r="L15" s="5">
        <f>(DATA!W67/2)+(DATA!X67/2)</f>
        <v>6212.9176189513601</v>
      </c>
      <c r="M15" s="5">
        <f>(DATA!X67/2)+(DATA!Y67/2)</f>
        <v>6337.7972630922832</v>
      </c>
      <c r="N15" s="6">
        <f t="shared" ref="N15:N40" si="2">SUM(B15:M15)</f>
        <v>68329.587502870301</v>
      </c>
    </row>
    <row r="16" spans="1:14" x14ac:dyDescent="0.2">
      <c r="A16" t="s">
        <v>103</v>
      </c>
      <c r="B16" s="5">
        <f>(DATA!M68/2)+(DATA!N68/2)</f>
        <v>5600.9385072000177</v>
      </c>
      <c r="C16" s="5">
        <f>(DATA!N68/2)+(DATA!O68/2)</f>
        <v>5713.5173711947391</v>
      </c>
      <c r="D16" s="5">
        <f>(DATA!O68/2)+(DATA!P68/2)</f>
        <v>5828.359070355752</v>
      </c>
      <c r="E16" s="5">
        <f>(DATA!P68/2)+(DATA!Q68/2)</f>
        <v>5945.5090876699023</v>
      </c>
      <c r="F16" s="5">
        <f>(DATA!Q68/2)+(DATA!R68/2)</f>
        <v>6065.0138203320676</v>
      </c>
      <c r="G16" s="5">
        <f>(DATA!R68/2)+(DATA!S68/2)</f>
        <v>6186.9205981207424</v>
      </c>
      <c r="H16" s="5">
        <f>(DATA!S68/2)+(DATA!T68/2)</f>
        <v>6311.2777021429702</v>
      </c>
      <c r="I16" s="5">
        <f>(DATA!T68/2)+(DATA!U68/2)</f>
        <v>6438.1343839560432</v>
      </c>
      <c r="J16" s="5">
        <f>(DATA!U68/2)+(DATA!V68/2)</f>
        <v>6567.5408850735603</v>
      </c>
      <c r="K16" s="5">
        <f>(DATA!V68/2)+(DATA!W68/2)</f>
        <v>6699.5484568635402</v>
      </c>
      <c r="L16" s="5">
        <f>(DATA!W68/2)+(DATA!X68/2)</f>
        <v>6834.2093808464979</v>
      </c>
      <c r="M16" s="5">
        <f>(DATA!X68/2)+(DATA!Y68/2)</f>
        <v>6971.576989401512</v>
      </c>
      <c r="N16" s="6">
        <f t="shared" si="2"/>
        <v>75162.546253157358</v>
      </c>
    </row>
    <row r="17" spans="1:14" x14ac:dyDescent="0.2">
      <c r="A17" t="s">
        <v>20</v>
      </c>
      <c r="B17" s="5">
        <f>(DATA!M44/2)+(DATA!N44/2)</f>
        <v>100</v>
      </c>
      <c r="C17" s="5">
        <f>(DATA!N44/2)+(DATA!O44/2)</f>
        <v>100</v>
      </c>
      <c r="D17" s="5">
        <f>(DATA!O44/2)+(DATA!P44/2)</f>
        <v>100</v>
      </c>
      <c r="E17" s="5">
        <f>(DATA!P44/2)+(DATA!Q44/2)</f>
        <v>100</v>
      </c>
      <c r="F17" s="5">
        <f>(DATA!Q44/2)+(DATA!R44/2)</f>
        <v>100</v>
      </c>
      <c r="G17" s="5">
        <f>(DATA!R44/2)+(DATA!S44/2)</f>
        <v>100</v>
      </c>
      <c r="H17" s="5">
        <f>(DATA!S44/2)+(DATA!T44/2)</f>
        <v>100</v>
      </c>
      <c r="I17" s="5">
        <f>(DATA!T44/2)+(DATA!U44/2)</f>
        <v>100</v>
      </c>
      <c r="J17" s="5">
        <f>(DATA!U44/2)+(DATA!V44/2)</f>
        <v>100</v>
      </c>
      <c r="K17" s="5">
        <f>(DATA!V44/2)+(DATA!W44/2)</f>
        <v>100</v>
      </c>
      <c r="L17" s="5">
        <f>(DATA!W44/2)+(DATA!X44/2)</f>
        <v>100</v>
      </c>
      <c r="M17" s="5">
        <f>(DATA!X44/2)+(DATA!Y44/2)</f>
        <v>100</v>
      </c>
      <c r="N17" s="6">
        <f t="shared" si="2"/>
        <v>1200</v>
      </c>
    </row>
    <row r="18" spans="1:14" x14ac:dyDescent="0.2">
      <c r="A18" t="s">
        <v>21</v>
      </c>
      <c r="B18" s="5">
        <f>(DATA!M45/2)+(DATA!N45/2)</f>
        <v>350.61956841384449</v>
      </c>
      <c r="C18" s="5">
        <f>(DATA!N45/2)+(DATA!O45/2)</f>
        <v>368.15054683453673</v>
      </c>
      <c r="D18" s="5">
        <f>(DATA!O45/2)+(DATA!P45/2)</f>
        <v>386.55807417626352</v>
      </c>
      <c r="E18" s="5">
        <f>(DATA!P45/2)+(DATA!Q45/2)</f>
        <v>405.88597788507673</v>
      </c>
      <c r="F18" s="5">
        <f>(DATA!Q45/2)+(DATA!R45/2)</f>
        <v>426.1802767793306</v>
      </c>
      <c r="G18" s="5">
        <f>(DATA!R45/2)+(DATA!S45/2)</f>
        <v>447.48929061829722</v>
      </c>
      <c r="H18" s="5">
        <f>(DATA!S45/2)+(DATA!T45/2)</f>
        <v>469.86375514921207</v>
      </c>
      <c r="I18" s="5">
        <f>(DATA!T45/2)+(DATA!U45/2)</f>
        <v>493.35694290667266</v>
      </c>
      <c r="J18" s="5">
        <f>(DATA!U45/2)+(DATA!V45/2)</f>
        <v>518.02479005200632</v>
      </c>
      <c r="K18" s="5">
        <f>(DATA!V45/2)+(DATA!W45/2)</f>
        <v>543.92602955460666</v>
      </c>
      <c r="L18" s="5">
        <f>(DATA!W45/2)+(DATA!X45/2)</f>
        <v>571.122331032337</v>
      </c>
      <c r="M18" s="5">
        <f>(DATA!X45/2)+(DATA!Y45/2)</f>
        <v>599.67844758395381</v>
      </c>
      <c r="N18" s="6">
        <f t="shared" si="2"/>
        <v>5580.8560309861377</v>
      </c>
    </row>
    <row r="19" spans="1:14" x14ac:dyDescent="0.2">
      <c r="A19" t="s">
        <v>23</v>
      </c>
      <c r="B19" s="5">
        <f>(DATA!M47/2)+(DATA!N47/2)</f>
        <v>0</v>
      </c>
      <c r="C19" s="5">
        <f>(DATA!N47/2)+(DATA!O47/2)</f>
        <v>0</v>
      </c>
      <c r="D19" s="5">
        <f>(DATA!O47/2)+(DATA!P47/2)</f>
        <v>0</v>
      </c>
      <c r="E19" s="5">
        <f>(DATA!P47/2)+(DATA!Q47/2)</f>
        <v>0</v>
      </c>
      <c r="F19" s="5">
        <f>(DATA!Q47/2)+(DATA!R47/2)</f>
        <v>0</v>
      </c>
      <c r="G19" s="5">
        <f>(DATA!R47/2)+(DATA!S47/2)</f>
        <v>0</v>
      </c>
      <c r="H19" s="5">
        <f>(DATA!S47/2)+(DATA!T47/2)</f>
        <v>0</v>
      </c>
      <c r="I19" s="5">
        <f>(DATA!T47/2)+(DATA!U47/2)</f>
        <v>0</v>
      </c>
      <c r="J19" s="5">
        <f>(DATA!U47/2)+(DATA!V47/2)</f>
        <v>0</v>
      </c>
      <c r="K19" s="5">
        <f>(DATA!V47/2)+(DATA!W47/2)</f>
        <v>0</v>
      </c>
      <c r="L19" s="5">
        <f>(DATA!W47/2)+(DATA!X47/2)</f>
        <v>0</v>
      </c>
      <c r="M19" s="5">
        <f>(DATA!X47/2)+(DATA!Y47/2)</f>
        <v>0</v>
      </c>
      <c r="N19" s="6">
        <f t="shared" si="2"/>
        <v>0</v>
      </c>
    </row>
    <row r="20" spans="1:14" x14ac:dyDescent="0.2">
      <c r="A20" t="s">
        <v>24</v>
      </c>
      <c r="B20" s="5">
        <f>(DATA!M48/2)+(DATA!N48/2)</f>
        <v>0</v>
      </c>
      <c r="C20" s="5">
        <f>(DATA!N48/2)+(DATA!O48/2)</f>
        <v>0</v>
      </c>
      <c r="D20" s="5">
        <f>(DATA!O48/2)+(DATA!P48/2)</f>
        <v>0</v>
      </c>
      <c r="E20" s="5">
        <f>(DATA!P48/2)+(DATA!Q48/2)</f>
        <v>0</v>
      </c>
      <c r="F20" s="5">
        <f>(DATA!Q48/2)+(DATA!R48/2)</f>
        <v>0</v>
      </c>
      <c r="G20" s="5">
        <f>(DATA!R48/2)+(DATA!S48/2)</f>
        <v>0</v>
      </c>
      <c r="H20" s="5">
        <f>(DATA!S48/2)+(DATA!T48/2)</f>
        <v>0</v>
      </c>
      <c r="I20" s="5">
        <f>(DATA!T48/2)+(DATA!U48/2)</f>
        <v>0</v>
      </c>
      <c r="J20" s="5">
        <f>(DATA!U48/2)+(DATA!V48/2)</f>
        <v>0</v>
      </c>
      <c r="K20" s="5">
        <f>(DATA!V48/2)+(DATA!W48/2)</f>
        <v>0</v>
      </c>
      <c r="L20" s="5">
        <f>(DATA!W48/2)+(DATA!X48/2)</f>
        <v>0</v>
      </c>
      <c r="M20" s="5">
        <f>(DATA!X48/2)+(DATA!Y48/2)</f>
        <v>0</v>
      </c>
      <c r="N20" s="6">
        <f t="shared" si="2"/>
        <v>0</v>
      </c>
    </row>
    <row r="21" spans="1:14" x14ac:dyDescent="0.2">
      <c r="A21" t="s">
        <v>25</v>
      </c>
      <c r="B21" s="5">
        <f>(DATA!M49/2)+(DATA!N49/2)</f>
        <v>0</v>
      </c>
      <c r="C21" s="5">
        <f>(DATA!N49/2)+(DATA!O49/2)</f>
        <v>0</v>
      </c>
      <c r="D21" s="5">
        <f>(DATA!O49/2)+(DATA!P49/2)</f>
        <v>0</v>
      </c>
      <c r="E21" s="5">
        <f>(DATA!P49/2)+(DATA!Q49/2)</f>
        <v>0</v>
      </c>
      <c r="F21" s="5">
        <f>(DATA!Q49/2)+(DATA!R49/2)</f>
        <v>0</v>
      </c>
      <c r="G21" s="5">
        <f>(DATA!R49/2)+(DATA!S49/2)</f>
        <v>0</v>
      </c>
      <c r="H21" s="5">
        <f>(DATA!S49/2)+(DATA!T49/2)</f>
        <v>0</v>
      </c>
      <c r="I21" s="5">
        <f>(DATA!T49/2)+(DATA!U49/2)</f>
        <v>0</v>
      </c>
      <c r="J21" s="5">
        <f>(DATA!U49/2)+(DATA!V49/2)</f>
        <v>0</v>
      </c>
      <c r="K21" s="5">
        <f>(DATA!V49/2)+(DATA!W49/2)</f>
        <v>0</v>
      </c>
      <c r="L21" s="5">
        <f>(DATA!W49/2)+(DATA!X49/2)</f>
        <v>0</v>
      </c>
      <c r="M21" s="5">
        <f>(DATA!X49/2)+(DATA!Y49/2)</f>
        <v>0</v>
      </c>
      <c r="N21" s="6">
        <f t="shared" si="2"/>
        <v>0</v>
      </c>
    </row>
    <row r="22" spans="1:14" x14ac:dyDescent="0.2">
      <c r="A22" t="s">
        <v>26</v>
      </c>
      <c r="B22" s="5">
        <f>(DATA!M50/2)+(DATA!N50/2)</f>
        <v>300</v>
      </c>
      <c r="C22" s="5">
        <f>(DATA!N50/2)+(DATA!O50/2)</f>
        <v>300</v>
      </c>
      <c r="D22" s="5">
        <f>(DATA!O50/2)+(DATA!P50/2)</f>
        <v>300</v>
      </c>
      <c r="E22" s="5">
        <f>(DATA!P50/2)+(DATA!Q50/2)</f>
        <v>300</v>
      </c>
      <c r="F22" s="5">
        <f>(DATA!Q50/2)+(DATA!R50/2)</f>
        <v>300</v>
      </c>
      <c r="G22" s="5">
        <f>(DATA!R50/2)+(DATA!S50/2)</f>
        <v>300</v>
      </c>
      <c r="H22" s="5">
        <f>(DATA!S50/2)+(DATA!T50/2)</f>
        <v>300</v>
      </c>
      <c r="I22" s="5">
        <f>(DATA!T50/2)+(DATA!U50/2)</f>
        <v>300</v>
      </c>
      <c r="J22" s="5">
        <f>(DATA!U50/2)+(DATA!V50/2)</f>
        <v>300</v>
      </c>
      <c r="K22" s="5">
        <f>(DATA!V50/2)+(DATA!W50/2)</f>
        <v>300</v>
      </c>
      <c r="L22" s="5">
        <f>(DATA!W50/2)+(DATA!X50/2)</f>
        <v>300</v>
      </c>
      <c r="M22" s="5">
        <f>(DATA!X50/2)+(DATA!Y50/2)</f>
        <v>300</v>
      </c>
      <c r="N22" s="6">
        <f t="shared" si="2"/>
        <v>3600</v>
      </c>
    </row>
    <row r="23" spans="1:14" x14ac:dyDescent="0.2">
      <c r="A23" t="s">
        <v>27</v>
      </c>
      <c r="B23" s="5">
        <f>(DATA!M51/2)+(DATA!N51/2)</f>
        <v>466.74487560000148</v>
      </c>
      <c r="C23" s="5">
        <f>(DATA!N51/2)+(DATA!O51/2)</f>
        <v>476.12644759956152</v>
      </c>
      <c r="D23" s="5">
        <f>(DATA!O51/2)+(DATA!P51/2)</f>
        <v>485.69658919631263</v>
      </c>
      <c r="E23" s="5">
        <f>(DATA!P51/2)+(DATA!Q51/2)</f>
        <v>495.45909063915855</v>
      </c>
      <c r="F23" s="5">
        <f>(DATA!Q51/2)+(DATA!R51/2)</f>
        <v>505.41781836100563</v>
      </c>
      <c r="G23" s="5">
        <f>(DATA!R51/2)+(DATA!S51/2)</f>
        <v>515.57671651006183</v>
      </c>
      <c r="H23" s="5">
        <f>(DATA!S51/2)+(DATA!T51/2)</f>
        <v>525.93980851191418</v>
      </c>
      <c r="I23" s="5">
        <f>(DATA!T51/2)+(DATA!U51/2)</f>
        <v>536.5111986630036</v>
      </c>
      <c r="J23" s="5">
        <f>(DATA!U51/2)+(DATA!V51/2)</f>
        <v>547.29507375613002</v>
      </c>
      <c r="K23" s="5">
        <f>(DATA!V51/2)+(DATA!W51/2)</f>
        <v>558.29570473862827</v>
      </c>
      <c r="L23" s="5">
        <f>(DATA!W51/2)+(DATA!X51/2)</f>
        <v>569.51744840387482</v>
      </c>
      <c r="M23" s="5">
        <f>(DATA!X51/2)+(DATA!Y51/2)</f>
        <v>580.96474911679275</v>
      </c>
      <c r="N23" s="6">
        <f t="shared" si="2"/>
        <v>6263.5455210964446</v>
      </c>
    </row>
    <row r="24" spans="1:14" x14ac:dyDescent="0.2">
      <c r="A24" t="s">
        <v>28</v>
      </c>
      <c r="B24" s="5">
        <f>(DATA!M52/2)+(DATA!N52/2)</f>
        <v>100</v>
      </c>
      <c r="C24" s="5">
        <f>(DATA!N52/2)+(DATA!O52/2)</f>
        <v>100</v>
      </c>
      <c r="D24" s="5">
        <f>(DATA!O52/2)+(DATA!P52/2)</f>
        <v>100</v>
      </c>
      <c r="E24" s="5">
        <f>(DATA!P52/2)+(DATA!Q52/2)</f>
        <v>100</v>
      </c>
      <c r="F24" s="5">
        <f>(DATA!Q52/2)+(DATA!R52/2)</f>
        <v>100</v>
      </c>
      <c r="G24" s="5">
        <f>(DATA!R52/2)+(DATA!S52/2)</f>
        <v>100</v>
      </c>
      <c r="H24" s="5">
        <f>(DATA!S52/2)+(DATA!T52/2)</f>
        <v>100</v>
      </c>
      <c r="I24" s="5">
        <f>(DATA!T52/2)+(DATA!U52/2)</f>
        <v>100</v>
      </c>
      <c r="J24" s="5">
        <f>(DATA!U52/2)+(DATA!V52/2)</f>
        <v>100</v>
      </c>
      <c r="K24" s="5">
        <f>(DATA!V52/2)+(DATA!W52/2)</f>
        <v>100</v>
      </c>
      <c r="L24" s="5">
        <f>(DATA!W52/2)+(DATA!X52/2)</f>
        <v>100</v>
      </c>
      <c r="M24" s="5">
        <f>(DATA!X52/2)+(DATA!Y52/2)</f>
        <v>100</v>
      </c>
      <c r="N24" s="6">
        <f t="shared" si="2"/>
        <v>1200</v>
      </c>
    </row>
    <row r="25" spans="1:14" x14ac:dyDescent="0.2">
      <c r="A25" t="s">
        <v>29</v>
      </c>
      <c r="B25" s="5">
        <f>(DATA!M53/2)+(DATA!N53/2)</f>
        <v>100</v>
      </c>
      <c r="C25" s="5">
        <f>(DATA!N53/2)+(DATA!O53/2)</f>
        <v>100</v>
      </c>
      <c r="D25" s="5">
        <f>(DATA!O53/2)+(DATA!P53/2)</f>
        <v>100</v>
      </c>
      <c r="E25" s="5">
        <f>(DATA!P53/2)+(DATA!Q53/2)</f>
        <v>100</v>
      </c>
      <c r="F25" s="5">
        <f>(DATA!Q53/2)+(DATA!R53/2)</f>
        <v>100</v>
      </c>
      <c r="G25" s="5">
        <f>(DATA!R53/2)+(DATA!S53/2)</f>
        <v>100</v>
      </c>
      <c r="H25" s="5">
        <f>(DATA!S53/2)+(DATA!T53/2)</f>
        <v>100</v>
      </c>
      <c r="I25" s="5">
        <f>(DATA!T53/2)+(DATA!U53/2)</f>
        <v>100</v>
      </c>
      <c r="J25" s="5">
        <f>(DATA!U53/2)+(DATA!V53/2)</f>
        <v>100</v>
      </c>
      <c r="K25" s="5">
        <f>(DATA!V53/2)+(DATA!W53/2)</f>
        <v>100</v>
      </c>
      <c r="L25" s="5">
        <f>(DATA!W53/2)+(DATA!X53/2)</f>
        <v>100</v>
      </c>
      <c r="M25" s="5">
        <f>(DATA!X53/2)+(DATA!Y53/2)</f>
        <v>100</v>
      </c>
      <c r="N25" s="6">
        <f t="shared" si="2"/>
        <v>1200</v>
      </c>
    </row>
    <row r="26" spans="1:14" x14ac:dyDescent="0.2">
      <c r="A26" t="s">
        <v>30</v>
      </c>
      <c r="B26" s="5">
        <f>(DATA!M54/2)+(DATA!N54/2)</f>
        <v>100</v>
      </c>
      <c r="C26" s="5">
        <f>(DATA!N54/2)+(DATA!O54/2)</f>
        <v>100</v>
      </c>
      <c r="D26" s="5">
        <f>(DATA!O54/2)+(DATA!P54/2)</f>
        <v>100</v>
      </c>
      <c r="E26" s="5">
        <f>(DATA!P54/2)+(DATA!Q54/2)</f>
        <v>100</v>
      </c>
      <c r="F26" s="5">
        <f>(DATA!Q54/2)+(DATA!R54/2)</f>
        <v>100</v>
      </c>
      <c r="G26" s="5">
        <f>(DATA!R54/2)+(DATA!S54/2)</f>
        <v>100</v>
      </c>
      <c r="H26" s="5">
        <f>(DATA!S54/2)+(DATA!T54/2)</f>
        <v>100</v>
      </c>
      <c r="I26" s="5">
        <f>(DATA!T54/2)+(DATA!U54/2)</f>
        <v>100</v>
      </c>
      <c r="J26" s="5">
        <f>(DATA!U54/2)+(DATA!V54/2)</f>
        <v>100</v>
      </c>
      <c r="K26" s="5">
        <f>(DATA!V54/2)+(DATA!W54/2)</f>
        <v>100</v>
      </c>
      <c r="L26" s="5">
        <f>(DATA!W54/2)+(DATA!X54/2)</f>
        <v>100</v>
      </c>
      <c r="M26" s="5">
        <f>(DATA!X54/2)+(DATA!Y54/2)</f>
        <v>100</v>
      </c>
      <c r="N26" s="6">
        <f t="shared" si="2"/>
        <v>1200</v>
      </c>
    </row>
    <row r="27" spans="1:14" x14ac:dyDescent="0.2">
      <c r="A27" t="s">
        <v>31</v>
      </c>
      <c r="B27" s="5">
        <f>(DATA!M55/2)+(DATA!N55/2)</f>
        <v>100</v>
      </c>
      <c r="C27" s="5">
        <f>(DATA!N55/2)+(DATA!O55/2)</f>
        <v>100</v>
      </c>
      <c r="D27" s="5">
        <f>(DATA!O55/2)+(DATA!P55/2)</f>
        <v>100</v>
      </c>
      <c r="E27" s="5">
        <f>(DATA!P55/2)+(DATA!Q55/2)</f>
        <v>100</v>
      </c>
      <c r="F27" s="5">
        <f>(DATA!Q55/2)+(DATA!R55/2)</f>
        <v>100</v>
      </c>
      <c r="G27" s="5">
        <f>(DATA!R55/2)+(DATA!S55/2)</f>
        <v>100</v>
      </c>
      <c r="H27" s="5">
        <f>(DATA!S55/2)+(DATA!T55/2)</f>
        <v>100</v>
      </c>
      <c r="I27" s="5">
        <f>(DATA!T55/2)+(DATA!U55/2)</f>
        <v>100</v>
      </c>
      <c r="J27" s="5">
        <f>(DATA!U55/2)+(DATA!V55/2)</f>
        <v>100</v>
      </c>
      <c r="K27" s="5">
        <f>(DATA!V55/2)+(DATA!W55/2)</f>
        <v>100</v>
      </c>
      <c r="L27" s="5">
        <f>(DATA!W55/2)+(DATA!X55/2)</f>
        <v>100</v>
      </c>
      <c r="M27" s="5">
        <f>(DATA!X55/2)+(DATA!Y55/2)</f>
        <v>100</v>
      </c>
      <c r="N27" s="6">
        <f t="shared" si="2"/>
        <v>1200</v>
      </c>
    </row>
    <row r="28" spans="1:14" x14ac:dyDescent="0.2">
      <c r="A28" t="s">
        <v>32</v>
      </c>
      <c r="B28" s="5">
        <f>(DATA!M56/2)+(DATA!N56/2)</f>
        <v>100</v>
      </c>
      <c r="C28" s="5">
        <f>(DATA!N56/2)+(DATA!O56/2)</f>
        <v>100</v>
      </c>
      <c r="D28" s="5">
        <f>(DATA!O56/2)+(DATA!P56/2)</f>
        <v>100</v>
      </c>
      <c r="E28" s="5">
        <f>(DATA!P56/2)+(DATA!Q56/2)</f>
        <v>100</v>
      </c>
      <c r="F28" s="5">
        <f>(DATA!Q56/2)+(DATA!R56/2)</f>
        <v>100</v>
      </c>
      <c r="G28" s="5">
        <f>(DATA!R56/2)+(DATA!S56/2)</f>
        <v>100</v>
      </c>
      <c r="H28" s="5">
        <f>(DATA!S56/2)+(DATA!T56/2)</f>
        <v>100</v>
      </c>
      <c r="I28" s="5">
        <f>(DATA!T56/2)+(DATA!U56/2)</f>
        <v>100</v>
      </c>
      <c r="J28" s="5">
        <f>(DATA!U56/2)+(DATA!V56/2)</f>
        <v>100</v>
      </c>
      <c r="K28" s="5">
        <f>(DATA!V56/2)+(DATA!W56/2)</f>
        <v>100</v>
      </c>
      <c r="L28" s="5">
        <f>(DATA!W56/2)+(DATA!X56/2)</f>
        <v>100</v>
      </c>
      <c r="M28" s="5">
        <f>(DATA!X56/2)+(DATA!Y56/2)</f>
        <v>100</v>
      </c>
      <c r="N28" s="6">
        <f t="shared" si="2"/>
        <v>1200</v>
      </c>
    </row>
    <row r="29" spans="1:14" x14ac:dyDescent="0.2">
      <c r="A29" t="s">
        <v>33</v>
      </c>
      <c r="B29" s="5">
        <f>(DATA!M57/2)+(DATA!N57/2)</f>
        <v>100</v>
      </c>
      <c r="C29" s="5">
        <f>(DATA!N57/2)+(DATA!O57/2)</f>
        <v>100</v>
      </c>
      <c r="D29" s="5">
        <f>(DATA!O57/2)+(DATA!P57/2)</f>
        <v>100</v>
      </c>
      <c r="E29" s="5">
        <f>(DATA!P57/2)+(DATA!Q57/2)</f>
        <v>100</v>
      </c>
      <c r="F29" s="5">
        <f>(DATA!Q57/2)+(DATA!R57/2)</f>
        <v>100</v>
      </c>
      <c r="G29" s="5">
        <f>(DATA!R57/2)+(DATA!S57/2)</f>
        <v>100</v>
      </c>
      <c r="H29" s="5">
        <f>(DATA!S57/2)+(DATA!T57/2)</f>
        <v>100</v>
      </c>
      <c r="I29" s="5">
        <f>(DATA!T57/2)+(DATA!U57/2)</f>
        <v>100</v>
      </c>
      <c r="J29" s="5">
        <f>(DATA!U57/2)+(DATA!V57/2)</f>
        <v>100</v>
      </c>
      <c r="K29" s="5">
        <f>(DATA!V57/2)+(DATA!W57/2)</f>
        <v>100</v>
      </c>
      <c r="L29" s="5">
        <f>(DATA!W57/2)+(DATA!X57/2)</f>
        <v>100</v>
      </c>
      <c r="M29" s="5">
        <f>(DATA!X57/2)+(DATA!Y57/2)</f>
        <v>100</v>
      </c>
      <c r="N29" s="6">
        <f t="shared" si="2"/>
        <v>1200</v>
      </c>
    </row>
    <row r="30" spans="1:14" x14ac:dyDescent="0.2">
      <c r="A30" t="s">
        <v>34</v>
      </c>
      <c r="B30" s="5">
        <f>(DATA!M58/2)+(DATA!N58/2)</f>
        <v>50</v>
      </c>
      <c r="C30" s="5">
        <f>(DATA!N58/2)+(DATA!O58/2)</f>
        <v>50</v>
      </c>
      <c r="D30" s="5">
        <f>(DATA!O58/2)+(DATA!P58/2)</f>
        <v>50</v>
      </c>
      <c r="E30" s="5">
        <f>(DATA!P58/2)+(DATA!Q58/2)</f>
        <v>50</v>
      </c>
      <c r="F30" s="5">
        <f>(DATA!Q58/2)+(DATA!R58/2)</f>
        <v>50</v>
      </c>
      <c r="G30" s="5">
        <f>(DATA!R58/2)+(DATA!S58/2)</f>
        <v>50</v>
      </c>
      <c r="H30" s="5">
        <f>(DATA!S58/2)+(DATA!T58/2)</f>
        <v>50</v>
      </c>
      <c r="I30" s="5">
        <f>(DATA!T58/2)+(DATA!U58/2)</f>
        <v>50</v>
      </c>
      <c r="J30" s="5">
        <f>(DATA!U58/2)+(DATA!V58/2)</f>
        <v>50</v>
      </c>
      <c r="K30" s="5">
        <f>(DATA!V58/2)+(DATA!W58/2)</f>
        <v>50</v>
      </c>
      <c r="L30" s="5">
        <f>(DATA!W58/2)+(DATA!X58/2)</f>
        <v>50</v>
      </c>
      <c r="M30" s="5">
        <f>(DATA!X58/2)+(DATA!Y58/2)</f>
        <v>50</v>
      </c>
      <c r="N30" s="6">
        <f t="shared" si="2"/>
        <v>600</v>
      </c>
    </row>
    <row r="31" spans="1:14" x14ac:dyDescent="0.2">
      <c r="A31" t="s">
        <v>35</v>
      </c>
      <c r="B31" s="5">
        <f>(DATA!M59/2)+(DATA!N59/2)</f>
        <v>0</v>
      </c>
      <c r="C31" s="5">
        <f>(DATA!N59/2)+(DATA!O59/2)</f>
        <v>0</v>
      </c>
      <c r="D31" s="5">
        <f>(DATA!O59/2)+(DATA!P59/2)</f>
        <v>0</v>
      </c>
      <c r="E31" s="5">
        <f>(DATA!P59/2)+(DATA!Q59/2)</f>
        <v>0</v>
      </c>
      <c r="F31" s="5">
        <f>(DATA!Q59/2)+(DATA!R59/2)</f>
        <v>0</v>
      </c>
      <c r="G31" s="5">
        <f>(DATA!R59/2)+(DATA!S59/2)</f>
        <v>0</v>
      </c>
      <c r="H31" s="5">
        <f>(DATA!S59/2)+(DATA!T59/2)</f>
        <v>0</v>
      </c>
      <c r="I31" s="5">
        <f>(DATA!T59/2)+(DATA!U59/2)</f>
        <v>0</v>
      </c>
      <c r="J31" s="5">
        <f>(DATA!U59/2)+(DATA!V59/2)</f>
        <v>0</v>
      </c>
      <c r="K31" s="5">
        <f>(DATA!V59/2)+(DATA!W59/2)</f>
        <v>0</v>
      </c>
      <c r="L31" s="5">
        <f>(DATA!W59/2)+(DATA!X59/2)</f>
        <v>0</v>
      </c>
      <c r="M31" s="5">
        <f>(DATA!X59/2)+(DATA!Y59/2)</f>
        <v>0</v>
      </c>
      <c r="N31" s="6">
        <f t="shared" si="2"/>
        <v>0</v>
      </c>
    </row>
    <row r="32" spans="1:14" x14ac:dyDescent="0.2">
      <c r="A32" t="s">
        <v>86</v>
      </c>
      <c r="B32" s="5">
        <f>SalaryModule!N10</f>
        <v>0</v>
      </c>
      <c r="C32" s="5">
        <f>SalaryModule!O10</f>
        <v>0</v>
      </c>
      <c r="D32" s="5">
        <f>SalaryModule!P10</f>
        <v>0</v>
      </c>
      <c r="E32" s="5">
        <f>SalaryModule!Q10</f>
        <v>0</v>
      </c>
      <c r="F32" s="5">
        <f>SalaryModule!R10</f>
        <v>0</v>
      </c>
      <c r="G32" s="5">
        <f>SalaryModule!S10</f>
        <v>0</v>
      </c>
      <c r="H32" s="5">
        <f>SalaryModule!T10</f>
        <v>0</v>
      </c>
      <c r="I32" s="5">
        <f>SalaryModule!U10</f>
        <v>0</v>
      </c>
      <c r="J32" s="5">
        <f>SalaryModule!V10</f>
        <v>0</v>
      </c>
      <c r="K32" s="5">
        <f>SalaryModule!W10</f>
        <v>0</v>
      </c>
      <c r="L32" s="5">
        <f>SalaryModule!X10</f>
        <v>0</v>
      </c>
      <c r="M32" s="5">
        <f>SalaryModule!Y10</f>
        <v>0</v>
      </c>
      <c r="N32" s="6">
        <f t="shared" si="2"/>
        <v>0</v>
      </c>
    </row>
    <row r="33" spans="1:14" x14ac:dyDescent="0.2">
      <c r="A33" t="s">
        <v>87</v>
      </c>
      <c r="B33" s="5">
        <f>LoanModule!D21</f>
        <v>249.16796938246986</v>
      </c>
      <c r="C33" s="5">
        <f>LoanModule!D22</f>
        <v>244.74617089182888</v>
      </c>
      <c r="D33" s="5">
        <f>LoanModule!D23</f>
        <v>240.29489374458365</v>
      </c>
      <c r="E33" s="5">
        <f>LoanModule!D24</f>
        <v>235.81394141635676</v>
      </c>
      <c r="F33" s="5">
        <f>LoanModule!D25</f>
        <v>231.30311607260833</v>
      </c>
      <c r="G33" s="5">
        <f>LoanModule!D26</f>
        <v>226.76221855990161</v>
      </c>
      <c r="H33" s="5">
        <f>LoanModule!D27</f>
        <v>222.19104839711019</v>
      </c>
      <c r="I33" s="5">
        <f>LoanModule!D28</f>
        <v>217.58940376656679</v>
      </c>
      <c r="J33" s="5">
        <f>LoanModule!D29</f>
        <v>212.95708150515316</v>
      </c>
      <c r="K33" s="5">
        <f>LoanModule!D30</f>
        <v>208.29387709533003</v>
      </c>
      <c r="L33" s="5">
        <f>LoanModule!D31</f>
        <v>203.59958465610816</v>
      </c>
      <c r="M33" s="5">
        <f>LoanModule!D32</f>
        <v>198.8739969339581</v>
      </c>
      <c r="N33" s="6">
        <f t="shared" si="2"/>
        <v>2691.5933024219757</v>
      </c>
    </row>
    <row r="34" spans="1:14" x14ac:dyDescent="0.2">
      <c r="A34" t="s">
        <v>104</v>
      </c>
      <c r="B34" s="5">
        <f>LoanModule!E21</f>
        <v>663.26977359614568</v>
      </c>
      <c r="C34" s="5">
        <f>LoanModule!E22</f>
        <v>667.69157208678666</v>
      </c>
      <c r="D34" s="5">
        <f>LoanModule!E23</f>
        <v>672.14284923403193</v>
      </c>
      <c r="E34" s="5">
        <f>LoanModule!E24</f>
        <v>676.62380156225879</v>
      </c>
      <c r="F34" s="5">
        <f>LoanModule!E25</f>
        <v>681.13462690600727</v>
      </c>
      <c r="G34" s="5">
        <f>LoanModule!E26</f>
        <v>685.67552441871396</v>
      </c>
      <c r="H34" s="5">
        <f>LoanModule!E27</f>
        <v>690.24669458150538</v>
      </c>
      <c r="I34" s="5">
        <f>LoanModule!E28</f>
        <v>694.84833921204881</v>
      </c>
      <c r="J34" s="5">
        <f>LoanModule!E29</f>
        <v>699.48066147346242</v>
      </c>
      <c r="K34" s="5">
        <f>LoanModule!E30</f>
        <v>704.14386588328557</v>
      </c>
      <c r="L34" s="5">
        <f>LoanModule!E31</f>
        <v>708.83815832250741</v>
      </c>
      <c r="M34" s="5">
        <f>LoanModule!E32</f>
        <v>713.56374604465748</v>
      </c>
      <c r="N34" s="6">
        <f t="shared" si="2"/>
        <v>8257.6596133214116</v>
      </c>
    </row>
    <row r="35" spans="1:14" x14ac:dyDescent="0.2">
      <c r="A35" t="s">
        <v>18</v>
      </c>
      <c r="B35" s="5">
        <f>DATA!N41</f>
        <v>0</v>
      </c>
      <c r="C35" s="5">
        <f>DATA!O41</f>
        <v>0</v>
      </c>
      <c r="D35" s="5">
        <f>DATA!P41</f>
        <v>0</v>
      </c>
      <c r="E35" s="5">
        <f>DATA!Q41</f>
        <v>0</v>
      </c>
      <c r="F35" s="5">
        <f>DATA!R41</f>
        <v>0</v>
      </c>
      <c r="G35" s="5">
        <f>DATA!S41</f>
        <v>0</v>
      </c>
      <c r="H35" s="5">
        <f>DATA!T41</f>
        <v>0</v>
      </c>
      <c r="I35" s="5">
        <f>DATA!U41</f>
        <v>0</v>
      </c>
      <c r="J35" s="5">
        <f>DATA!V41</f>
        <v>0</v>
      </c>
      <c r="K35" s="5">
        <f>DATA!W41</f>
        <v>0</v>
      </c>
      <c r="L35" s="5">
        <f>DATA!X41</f>
        <v>0</v>
      </c>
      <c r="M35" s="5">
        <f>DATA!Y41</f>
        <v>0</v>
      </c>
      <c r="N35" s="6">
        <f t="shared" si="2"/>
        <v>0</v>
      </c>
    </row>
    <row r="36" spans="1:14" x14ac:dyDescent="0.2">
      <c r="A36" t="s">
        <v>105</v>
      </c>
      <c r="B36" s="5">
        <f>IF(DATA!E19=B5,DATA!B19,0)+IF(DATA!E22=B5,DATA!B22,0)</f>
        <v>0</v>
      </c>
      <c r="C36" s="5">
        <f>IF(DATA!E19=C5,DATA!B19,0)+IF(DATA!E22=C5,DATA!B22,0)</f>
        <v>0</v>
      </c>
      <c r="D36" s="5">
        <f>IF(DATA!E19=D5,DATA!B19,0)+IF(DATA!E22=D5,DATA!B22,0)</f>
        <v>0</v>
      </c>
      <c r="E36" s="5">
        <f>IF(DATA!E19=E5,DATA!B19,0)+IF(DATA!E22=E5,DATA!B22,0)</f>
        <v>0</v>
      </c>
      <c r="F36" s="5">
        <f>IF(DATA!E19=F5,DATA!B19,0)+IF(DATA!E22=F5,DATA!B22,0)</f>
        <v>0</v>
      </c>
      <c r="G36" s="5">
        <f>IF(DATA!E19=G5,DATA!B19,0)+IF(DATA!E22=G5,DATA!B22,0)</f>
        <v>0</v>
      </c>
      <c r="H36" s="5">
        <f>IF(DATA!E19=H5,DATA!B19,0)+IF(DATA!E22=H5,DATA!B22,0)</f>
        <v>0</v>
      </c>
      <c r="I36" s="5">
        <f>IF(DATA!E19=I5,DATA!B19,0)+IF(DATA!E22=I5,DATA!B22,0)</f>
        <v>0</v>
      </c>
      <c r="J36" s="5">
        <f>IF(DATA!E19=J5,DATA!B19,0)+IF(DATA!E22=J5,DATA!B22,0)</f>
        <v>0</v>
      </c>
      <c r="K36" s="5">
        <f>IF(DATA!E19=K5,DATA!B19,0)+IF(DATA!E22=K5,DATA!B22,0)</f>
        <v>0</v>
      </c>
      <c r="L36" s="5">
        <f>IF(DATA!E19=L5,DATA!B19,0)+IF(DATA!E22=L5,DATA!B22,0)</f>
        <v>0</v>
      </c>
      <c r="M36" s="5">
        <f>IF(DATA!E19=M5,DATA!B19,0)+IF(DATA!E22=M5,DATA!B22,0)</f>
        <v>0</v>
      </c>
      <c r="N36" s="6">
        <f t="shared" si="2"/>
        <v>0</v>
      </c>
    </row>
    <row r="37" spans="1:14" x14ac:dyDescent="0.2">
      <c r="A37" t="s">
        <v>106</v>
      </c>
      <c r="B37" s="5">
        <f>((DATA!B61*DATA!M66)/2)+((DATA!B61*DATA!N66)/2)</f>
        <v>0</v>
      </c>
      <c r="C37" s="5">
        <f>((DATA!B61*DATA!N66)/2)+((DATA!B61*DATA!O66)/2)</f>
        <v>0</v>
      </c>
      <c r="D37" s="5">
        <f>((DATA!B61*DATA!O66)/2)+((DATA!B61*DATA!P66)/2)</f>
        <v>0</v>
      </c>
      <c r="E37" s="5">
        <f>((DATA!B61*DATA!P66)/2)+((DATA!B61*DATA!Q66)/2)</f>
        <v>0</v>
      </c>
      <c r="F37" s="5">
        <f>((DATA!B61*DATA!Q66)/2)+((DATA!B61*DATA!R66)/2)</f>
        <v>0</v>
      </c>
      <c r="G37" s="5">
        <f>((DATA!B61*DATA!R66)/2)+((DATA!B61*DATA!S66)/2)</f>
        <v>0</v>
      </c>
      <c r="H37" s="5">
        <f>((DATA!B61*DATA!S66)/2)+((DATA!B61*DATA!T66)/2)</f>
        <v>0</v>
      </c>
      <c r="I37" s="5">
        <f>((DATA!B61*DATA!T66)/2)+((DATA!B61*DATA!U66)/2)</f>
        <v>0</v>
      </c>
      <c r="J37" s="5">
        <f>((DATA!B61*DATA!U66)/2)+((DATA!B61*DATA!V66)/2)</f>
        <v>0</v>
      </c>
      <c r="K37" s="5">
        <f>((DATA!B61*DATA!V66)/2)+((DATA!B61*DATA!W66)/2)</f>
        <v>0</v>
      </c>
      <c r="L37" s="5">
        <f>((DATA!B61*DATA!W66)/2)+((DATA!B61*DATA!X66)/2)</f>
        <v>0</v>
      </c>
      <c r="M37" s="5">
        <f>((DATA!B61*DATA!X66)/2)+((DATA!B61*DATA!Y66)/2)</f>
        <v>0</v>
      </c>
      <c r="N37" s="6">
        <f t="shared" si="2"/>
        <v>0</v>
      </c>
    </row>
    <row r="38" spans="1:14" x14ac:dyDescent="0.2">
      <c r="A38" t="s">
        <v>92</v>
      </c>
      <c r="B38" s="5">
        <f>IncomeStatement_Year2!B41</f>
        <v>0</v>
      </c>
      <c r="C38" s="5">
        <f>IncomeStatement_Year2!C41</f>
        <v>0</v>
      </c>
      <c r="D38" s="5">
        <f>IncomeStatement_Year2!D41</f>
        <v>0</v>
      </c>
      <c r="E38" s="5">
        <f>IncomeStatement_Year2!E41</f>
        <v>0</v>
      </c>
      <c r="F38" s="5">
        <f>IncomeStatement_Year2!F41</f>
        <v>0</v>
      </c>
      <c r="G38" s="5">
        <f>IncomeStatement_Year2!G41</f>
        <v>0</v>
      </c>
      <c r="H38" s="5">
        <f>IncomeStatement_Year2!H41</f>
        <v>0</v>
      </c>
      <c r="I38" s="5">
        <f>IncomeStatement_Year2!I41</f>
        <v>0</v>
      </c>
      <c r="J38" s="5">
        <f>IncomeStatement_Year2!J41</f>
        <v>0</v>
      </c>
      <c r="K38" s="5">
        <f>IncomeStatement_Year2!K41</f>
        <v>0</v>
      </c>
      <c r="L38" s="5">
        <f>IncomeStatement_Year2!L41</f>
        <v>0</v>
      </c>
      <c r="M38" s="5">
        <f>IncomeStatement_Year2!M41</f>
        <v>0</v>
      </c>
      <c r="N38" s="6">
        <f t="shared" si="2"/>
        <v>0</v>
      </c>
    </row>
    <row r="39" spans="1:14" x14ac:dyDescent="0.2">
      <c r="A39" t="s">
        <v>107</v>
      </c>
      <c r="B39" s="5">
        <f>IncomeStatement_Year1!M10*DATA!B3-IncomeStatement_Year2!B10*DATA!B3</f>
        <v>-25.331523640756131</v>
      </c>
      <c r="C39" s="5">
        <f>IncomeStatement_Year2!B10*DATA!B3-IncomeStatement_Year2!C10*DATA!B3</f>
        <v>-25.840687265935003</v>
      </c>
      <c r="D39" s="5">
        <f>IncomeStatement_Year2!C10*DATA!B3-IncomeStatement_Year2!D10*DATA!B3</f>
        <v>-26.360085079980081</v>
      </c>
      <c r="E39" s="5">
        <f>IncomeStatement_Year2!D10*DATA!B3-IncomeStatement_Year2!E10*DATA!B3</f>
        <v>-26.889922790088349</v>
      </c>
      <c r="F39" s="5">
        <f>IncomeStatement_Year2!E10*DATA!B3-IncomeStatement_Year2!F10*DATA!B3</f>
        <v>-27.430410238168633</v>
      </c>
      <c r="G39" s="5">
        <f>IncomeStatement_Year2!F10*DATA!B3-IncomeStatement_Year2!G10*DATA!B3</f>
        <v>-27.981761483956006</v>
      </c>
      <c r="H39" s="5">
        <f>IncomeStatement_Year2!G10*DATA!B3-IncomeStatement_Year2!H10*DATA!B3</f>
        <v>-28.544194889783739</v>
      </c>
      <c r="I39" s="5">
        <f>IncomeStatement_Year2!H10*DATA!B3-IncomeStatement_Year2!I10*DATA!B3</f>
        <v>-29.117933207068063</v>
      </c>
      <c r="J39" s="5">
        <f>IncomeStatement_Year2!I10*DATA!B3-IncomeStatement_Year2!J10*DATA!B3</f>
        <v>-29.70320366453052</v>
      </c>
      <c r="K39" s="5">
        <f>IncomeStatement_Year2!J10*DATA!B3-IncomeStatement_Year2!K10*DATA!B3</f>
        <v>-30.300238058187233</v>
      </c>
      <c r="L39" s="5">
        <f>IncomeStatement_Year2!K10*DATA!B3-IncomeStatement_Year2!L10*DATA!B3</f>
        <v>-30.909272843157169</v>
      </c>
      <c r="M39" s="5">
        <f>IncomeStatement_Year2!L10*DATA!B3-IncomeStatement_Year2!M10*DATA!B3</f>
        <v>-31.530549227304391</v>
      </c>
      <c r="N39" s="6">
        <f t="shared" si="2"/>
        <v>-339.93978238891532</v>
      </c>
    </row>
    <row r="40" spans="1:14" x14ac:dyDescent="0.2">
      <c r="A40" s="4" t="s">
        <v>108</v>
      </c>
      <c r="B40" s="8">
        <f t="shared" ref="B40:M40" si="3">SUM(B15:B38)-B39</f>
        <v>13497.834497105978</v>
      </c>
      <c r="C40" s="8">
        <f t="shared" si="3"/>
        <v>13740.179496959514</v>
      </c>
      <c r="D40" s="8">
        <f t="shared" si="3"/>
        <v>13987.919807564876</v>
      </c>
      <c r="E40" s="8">
        <f t="shared" si="3"/>
        <v>14241.190083480931</v>
      </c>
      <c r="F40" s="8">
        <f t="shared" si="3"/>
        <v>14500.128996263793</v>
      </c>
      <c r="G40" s="8">
        <f t="shared" si="3"/>
        <v>14764.87938073053</v>
      </c>
      <c r="H40" s="8">
        <f t="shared" si="3"/>
        <v>15035.588387438831</v>
      </c>
      <c r="I40" s="8">
        <f t="shared" si="3"/>
        <v>15312.407641671442</v>
      </c>
      <c r="J40" s="8">
        <f t="shared" si="3"/>
        <v>15595.49340922808</v>
      </c>
      <c r="K40" s="8">
        <f t="shared" si="3"/>
        <v>15885.006769342248</v>
      </c>
      <c r="L40" s="8">
        <f t="shared" si="3"/>
        <v>16181.113795055842</v>
      </c>
      <c r="M40" s="8">
        <f t="shared" si="3"/>
        <v>16483.985741400462</v>
      </c>
      <c r="N40" s="8">
        <f t="shared" si="2"/>
        <v>179225.72800624251</v>
      </c>
    </row>
    <row r="42" spans="1:14" x14ac:dyDescent="0.2">
      <c r="A42" s="4" t="s">
        <v>109</v>
      </c>
      <c r="B42" s="9">
        <f t="shared" ref="B42:M42" si="4">B12-B40</f>
        <v>3643.5832580748756</v>
      </c>
      <c r="C42" s="9">
        <f t="shared" si="4"/>
        <v>3745.7807551004698</v>
      </c>
      <c r="D42" s="9">
        <f t="shared" si="4"/>
        <v>3849.5082455615138</v>
      </c>
      <c r="E42" s="9">
        <f t="shared" si="4"/>
        <v>3954.7702735132989</v>
      </c>
      <c r="F42" s="9">
        <f t="shared" si="4"/>
        <v>4061.5701639060208</v>
      </c>
      <c r="G42" s="9">
        <f t="shared" si="4"/>
        <v>4169.9099325586976</v>
      </c>
      <c r="H42" s="9">
        <f t="shared" si="4"/>
        <v>4279.7901910475121</v>
      </c>
      <c r="I42" s="9">
        <f t="shared" si="4"/>
        <v>4391.2100462424787</v>
      </c>
      <c r="J42" s="9">
        <f t="shared" si="4"/>
        <v>4504.1669942129101</v>
      </c>
      <c r="K42" s="9">
        <f t="shared" si="4"/>
        <v>4618.6568082079084</v>
      </c>
      <c r="L42" s="9">
        <f t="shared" si="4"/>
        <v>4734.6734204030745</v>
      </c>
      <c r="M42" s="9">
        <f t="shared" si="4"/>
        <v>4852.2087970891807</v>
      </c>
      <c r="N42" s="9">
        <f>SUM(B42:M42)</f>
        <v>50805.828885917945</v>
      </c>
    </row>
    <row r="44" spans="1:14" x14ac:dyDescent="0.2">
      <c r="A44" s="4" t="s">
        <v>110</v>
      </c>
      <c r="B44" s="6">
        <f>B42</f>
        <v>3643.5832580748756</v>
      </c>
      <c r="C44" s="6">
        <f t="shared" ref="C44:M44" si="5">B44+C42</f>
        <v>7389.3640131753455</v>
      </c>
      <c r="D44" s="6">
        <f t="shared" si="5"/>
        <v>11238.872258736859</v>
      </c>
      <c r="E44" s="6">
        <f t="shared" si="5"/>
        <v>15193.642532250158</v>
      </c>
      <c r="F44" s="6">
        <f t="shared" si="5"/>
        <v>19255.212696156181</v>
      </c>
      <c r="G44" s="6">
        <f t="shared" si="5"/>
        <v>23425.122628714878</v>
      </c>
      <c r="H44" s="6">
        <f t="shared" si="5"/>
        <v>27704.91281976239</v>
      </c>
      <c r="I44" s="6">
        <f t="shared" si="5"/>
        <v>32096.122866004869</v>
      </c>
      <c r="J44" s="6">
        <f t="shared" si="5"/>
        <v>36600.289860217781</v>
      </c>
      <c r="K44" s="6">
        <f t="shared" si="5"/>
        <v>41218.946668425691</v>
      </c>
      <c r="L44" s="6">
        <f t="shared" si="5"/>
        <v>45953.620088828764</v>
      </c>
      <c r="M44" s="6">
        <f t="shared" si="5"/>
        <v>50805.828885917945</v>
      </c>
      <c r="N44" s="6">
        <f>M44</f>
        <v>50805.828885917945</v>
      </c>
    </row>
    <row r="49" spans="1:1" x14ac:dyDescent="0.2">
      <c r="A49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9"/>
  <sheetViews>
    <sheetView workbookViewId="0">
      <selection activeCell="N7" sqref="N7"/>
    </sheetView>
  </sheetViews>
  <sheetFormatPr baseColWidth="10" defaultColWidth="8.83203125" defaultRowHeight="15" x14ac:dyDescent="0.2"/>
  <cols>
    <col min="1" max="1" width="29.5" bestFit="1" customWidth="1"/>
    <col min="2" max="12" width="9.33203125" bestFit="1" customWidth="1"/>
    <col min="13" max="13" width="10.5" bestFit="1" customWidth="1"/>
    <col min="14" max="14" width="8.1640625" bestFit="1" customWidth="1"/>
  </cols>
  <sheetData>
    <row r="1" spans="1:14" x14ac:dyDescent="0.2">
      <c r="A1" t="str">
        <f>DATA!B1</f>
        <v>Example Food Truck</v>
      </c>
    </row>
    <row r="2" spans="1:14" x14ac:dyDescent="0.2">
      <c r="A2" t="s">
        <v>97</v>
      </c>
    </row>
    <row r="3" spans="1:14" x14ac:dyDescent="0.2">
      <c r="A3" t="s">
        <v>96</v>
      </c>
    </row>
    <row r="5" spans="1:14" x14ac:dyDescent="0.2"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96</v>
      </c>
    </row>
    <row r="7" spans="1:14" x14ac:dyDescent="0.2">
      <c r="A7" s="4" t="s">
        <v>98</v>
      </c>
      <c r="B7" s="5">
        <f>CashFlowStatement_Year2!M7+CashFlowStatement_Year2!M42</f>
        <v>88082.14825698873</v>
      </c>
      <c r="C7" s="5">
        <f t="shared" ref="C7:M7" si="0">B7+B42</f>
        <v>93053.401063950514</v>
      </c>
      <c r="D7" s="5">
        <f t="shared" si="0"/>
        <v>98145.194146104201</v>
      </c>
      <c r="E7" s="5">
        <f t="shared" si="0"/>
        <v>103359.00901773805</v>
      </c>
      <c r="F7" s="5">
        <f t="shared" si="0"/>
        <v>108696.30990431536</v>
      </c>
      <c r="G7" s="5">
        <f t="shared" si="0"/>
        <v>114158.541041606</v>
      </c>
      <c r="H7" s="5">
        <f t="shared" si="0"/>
        <v>119747.12380286226</v>
      </c>
      <c r="I7" s="5">
        <f t="shared" si="0"/>
        <v>125463.45364469945</v>
      </c>
      <c r="J7" s="5">
        <f t="shared" si="0"/>
        <v>131308.89686185954</v>
      </c>
      <c r="K7" s="5">
        <f t="shared" si="0"/>
        <v>137284.78714052995</v>
      </c>
      <c r="L7" s="5">
        <f t="shared" si="0"/>
        <v>143392.42189935758</v>
      </c>
      <c r="M7" s="5">
        <f t="shared" si="0"/>
        <v>149633.05840673973</v>
      </c>
      <c r="N7" s="6">
        <f>M7</f>
        <v>149633.05840673973</v>
      </c>
    </row>
    <row r="9" spans="1:14" x14ac:dyDescent="0.2">
      <c r="A9" s="4" t="s">
        <v>99</v>
      </c>
    </row>
    <row r="10" spans="1:14" x14ac:dyDescent="0.2">
      <c r="A10" t="s">
        <v>44</v>
      </c>
      <c r="B10" s="5">
        <f>DATA!Z72</f>
        <v>21765.052048713285</v>
      </c>
      <c r="C10" s="5">
        <f>DATA!AA72</f>
        <v>22202.529594892421</v>
      </c>
      <c r="D10" s="5">
        <f>DATA!AB72</f>
        <v>22648.800439749753</v>
      </c>
      <c r="E10" s="5">
        <f>DATA!AC72</f>
        <v>23104.041328588723</v>
      </c>
      <c r="F10" s="5">
        <f>DATA!AD72</f>
        <v>23568.43255929336</v>
      </c>
      <c r="G10" s="5">
        <f>DATA!AE72</f>
        <v>24042.158053735158</v>
      </c>
      <c r="H10" s="5">
        <f>DATA!AF72</f>
        <v>24525.405430615236</v>
      </c>
      <c r="I10" s="5">
        <f>DATA!AG72</f>
        <v>25018.366079770603</v>
      </c>
      <c r="J10" s="5">
        <f>DATA!AH72</f>
        <v>25521.235237973997</v>
      </c>
      <c r="K10" s="5">
        <f>DATA!AI72</f>
        <v>26034.212066257274</v>
      </c>
      <c r="L10" s="5">
        <f>DATA!AJ72</f>
        <v>26557.499728789047</v>
      </c>
      <c r="M10" s="5">
        <f>DATA!AK72</f>
        <v>27091.30547333771</v>
      </c>
      <c r="N10" s="6">
        <f>SUM(B10:M10)</f>
        <v>292079.03804171662</v>
      </c>
    </row>
    <row r="11" spans="1:14" x14ac:dyDescent="0.2">
      <c r="A11" t="s">
        <v>72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6">
        <f>SUM(B11:M11)</f>
        <v>0</v>
      </c>
    </row>
    <row r="12" spans="1:14" x14ac:dyDescent="0.2">
      <c r="A12" s="4" t="s">
        <v>100</v>
      </c>
      <c r="B12" s="8">
        <f t="shared" ref="B12:M12" si="1">SUM(B10:B11)</f>
        <v>21765.052048713285</v>
      </c>
      <c r="C12" s="8">
        <f t="shared" si="1"/>
        <v>22202.529594892421</v>
      </c>
      <c r="D12" s="8">
        <f t="shared" si="1"/>
        <v>22648.800439749753</v>
      </c>
      <c r="E12" s="8">
        <f t="shared" si="1"/>
        <v>23104.041328588723</v>
      </c>
      <c r="F12" s="8">
        <f t="shared" si="1"/>
        <v>23568.43255929336</v>
      </c>
      <c r="G12" s="8">
        <f t="shared" si="1"/>
        <v>24042.158053735158</v>
      </c>
      <c r="H12" s="8">
        <f t="shared" si="1"/>
        <v>24525.405430615236</v>
      </c>
      <c r="I12" s="8">
        <f t="shared" si="1"/>
        <v>25018.366079770603</v>
      </c>
      <c r="J12" s="8">
        <f t="shared" si="1"/>
        <v>25521.235237973997</v>
      </c>
      <c r="K12" s="8">
        <f t="shared" si="1"/>
        <v>26034.212066257274</v>
      </c>
      <c r="L12" s="8">
        <f t="shared" si="1"/>
        <v>26557.499728789047</v>
      </c>
      <c r="M12" s="8">
        <f t="shared" si="1"/>
        <v>27091.30547333771</v>
      </c>
      <c r="N12" s="8">
        <f>SUM(B12:M12)</f>
        <v>292079.03804171662</v>
      </c>
    </row>
    <row r="14" spans="1:14" x14ac:dyDescent="0.2">
      <c r="A14" s="4" t="s">
        <v>101</v>
      </c>
    </row>
    <row r="15" spans="1:14" x14ac:dyDescent="0.2">
      <c r="A15" t="s">
        <v>102</v>
      </c>
      <c r="B15" s="5">
        <f>(DATA!Y67/2)+(DATA!Z67/2)</f>
        <v>6465.1869880804388</v>
      </c>
      <c r="C15" s="5">
        <f>(DATA!Z67/2)+(DATA!AA67/2)</f>
        <v>6595.1372465408549</v>
      </c>
      <c r="D15" s="5">
        <f>(DATA!AA67/2)+(DATA!AB67/2)</f>
        <v>6727.6995051963258</v>
      </c>
      <c r="E15" s="5">
        <f>(DATA!AB67/2)+(DATA!AC67/2)</f>
        <v>6862.9262652507714</v>
      </c>
      <c r="F15" s="5">
        <f>(DATA!AC67/2)+(DATA!AD67/2)</f>
        <v>7000.8710831823118</v>
      </c>
      <c r="G15" s="5">
        <f>(DATA!AD67/2)+(DATA!AE67/2)</f>
        <v>7141.5885919542779</v>
      </c>
      <c r="H15" s="5">
        <f>(DATA!AE67/2)+(DATA!AF67/2)</f>
        <v>7285.1345226525591</v>
      </c>
      <c r="I15" s="5">
        <f>(DATA!AF67/2)+(DATA!AG67/2)</f>
        <v>7431.5657265578757</v>
      </c>
      <c r="J15" s="5">
        <f>(DATA!AG67/2)+(DATA!AH67/2)</f>
        <v>7580.94019766169</v>
      </c>
      <c r="K15" s="5">
        <f>(DATA!AH67/2)+(DATA!AI67/2)</f>
        <v>7733.3170956346912</v>
      </c>
      <c r="L15" s="5">
        <f>(DATA!AI67/2)+(DATA!AJ67/2)</f>
        <v>7888.7567692569482</v>
      </c>
      <c r="M15" s="5">
        <f>(DATA!AJ67/2)+(DATA!AK67/2)</f>
        <v>8047.3207803190135</v>
      </c>
      <c r="N15" s="6">
        <f t="shared" ref="N15:N40" si="2">SUM(B15:M15)</f>
        <v>86760.444772287752</v>
      </c>
    </row>
    <row r="16" spans="1:14" x14ac:dyDescent="0.2">
      <c r="A16" t="s">
        <v>103</v>
      </c>
      <c r="B16" s="5">
        <f>(DATA!Y68/2)+(DATA!Z68/2)</f>
        <v>7111.7056868884829</v>
      </c>
      <c r="C16" s="5">
        <f>(DATA!Z68/2)+(DATA!AA68/2)</f>
        <v>7254.650971194942</v>
      </c>
      <c r="D16" s="5">
        <f>(DATA!AA68/2)+(DATA!AB68/2)</f>
        <v>7400.4694557159601</v>
      </c>
      <c r="E16" s="5">
        <f>(DATA!AB68/2)+(DATA!AC68/2)</f>
        <v>7549.2188917758494</v>
      </c>
      <c r="F16" s="5">
        <f>(DATA!AC68/2)+(DATA!AD68/2)</f>
        <v>7700.9581915005447</v>
      </c>
      <c r="G16" s="5">
        <f>(DATA!AD68/2)+(DATA!AE68/2)</f>
        <v>7855.7474511497076</v>
      </c>
      <c r="H16" s="5">
        <f>(DATA!AE68/2)+(DATA!AF68/2)</f>
        <v>8013.6479749178161</v>
      </c>
      <c r="I16" s="5">
        <f>(DATA!AF68/2)+(DATA!AG68/2)</f>
        <v>8174.722299213664</v>
      </c>
      <c r="J16" s="5">
        <f>(DATA!AG68/2)+(DATA!AH68/2)</f>
        <v>8339.0342174278594</v>
      </c>
      <c r="K16" s="5">
        <f>(DATA!AH68/2)+(DATA!AI68/2)</f>
        <v>8506.6488051981596</v>
      </c>
      <c r="L16" s="5">
        <f>(DATA!AI68/2)+(DATA!AJ68/2)</f>
        <v>8677.6324461826443</v>
      </c>
      <c r="M16" s="5">
        <f>(DATA!AJ68/2)+(DATA!AK68/2)</f>
        <v>8852.0528583509149</v>
      </c>
      <c r="N16" s="6">
        <f t="shared" si="2"/>
        <v>95436.48924951654</v>
      </c>
    </row>
    <row r="17" spans="1:14" x14ac:dyDescent="0.2">
      <c r="A17" t="s">
        <v>20</v>
      </c>
      <c r="B17" s="5">
        <f>(DATA!Y44/2)+(DATA!Z44/2)</f>
        <v>100</v>
      </c>
      <c r="C17" s="5">
        <f>(DATA!Z44/2)+(DATA!AA44/2)</f>
        <v>100</v>
      </c>
      <c r="D17" s="5">
        <f>(DATA!AA44/2)+(DATA!AB44/2)</f>
        <v>100</v>
      </c>
      <c r="E17" s="5">
        <f>(DATA!AB44/2)+(DATA!AC44/2)</f>
        <v>100</v>
      </c>
      <c r="F17" s="5">
        <f>(DATA!AC44/2)+(DATA!AD44/2)</f>
        <v>100</v>
      </c>
      <c r="G17" s="5">
        <f>(DATA!AD44/2)+(DATA!AE44/2)</f>
        <v>100</v>
      </c>
      <c r="H17" s="5">
        <f>(DATA!AE44/2)+(DATA!AF44/2)</f>
        <v>100</v>
      </c>
      <c r="I17" s="5">
        <f>(DATA!AF44/2)+(DATA!AG44/2)</f>
        <v>100</v>
      </c>
      <c r="J17" s="5">
        <f>(DATA!AG44/2)+(DATA!AH44/2)</f>
        <v>100</v>
      </c>
      <c r="K17" s="5">
        <f>(DATA!AH44/2)+(DATA!AI44/2)</f>
        <v>100</v>
      </c>
      <c r="L17" s="5">
        <f>(DATA!AI44/2)+(DATA!AJ44/2)</f>
        <v>100</v>
      </c>
      <c r="M17" s="5">
        <f>(DATA!AJ44/2)+(DATA!AK44/2)</f>
        <v>100</v>
      </c>
      <c r="N17" s="6">
        <f t="shared" si="2"/>
        <v>1200</v>
      </c>
    </row>
    <row r="18" spans="1:14" x14ac:dyDescent="0.2">
      <c r="A18" t="s">
        <v>21</v>
      </c>
      <c r="B18" s="5">
        <f>(DATA!Y45/2)+(DATA!Z45/2)</f>
        <v>629.6623699631516</v>
      </c>
      <c r="C18" s="5">
        <f>(DATA!Z45/2)+(DATA!AA45/2)</f>
        <v>661.14548846130924</v>
      </c>
      <c r="D18" s="5">
        <f>(DATA!AA45/2)+(DATA!AB45/2)</f>
        <v>694.20276288437458</v>
      </c>
      <c r="E18" s="5">
        <f>(DATA!AB45/2)+(DATA!AC45/2)</f>
        <v>728.91290102859341</v>
      </c>
      <c r="F18" s="5">
        <f>(DATA!AC45/2)+(DATA!AD45/2)</f>
        <v>765.35854608002319</v>
      </c>
      <c r="G18" s="5">
        <f>(DATA!AD45/2)+(DATA!AE45/2)</f>
        <v>803.62647338402439</v>
      </c>
      <c r="H18" s="5">
        <f>(DATA!AE45/2)+(DATA!AF45/2)</f>
        <v>843.80779705322561</v>
      </c>
      <c r="I18" s="5">
        <f>(DATA!AF45/2)+(DATA!AG45/2)</f>
        <v>885.998186905887</v>
      </c>
      <c r="J18" s="5">
        <f>(DATA!AG45/2)+(DATA!AH45/2)</f>
        <v>930.29809625118128</v>
      </c>
      <c r="K18" s="5">
        <f>(DATA!AH45/2)+(DATA!AI45/2)</f>
        <v>976.81300106374044</v>
      </c>
      <c r="L18" s="5">
        <f>(DATA!AI45/2)+(DATA!AJ45/2)</f>
        <v>1025.6536511169274</v>
      </c>
      <c r="M18" s="5">
        <f>(DATA!AJ45/2)+(DATA!AK45/2)</f>
        <v>1076.9363336727738</v>
      </c>
      <c r="N18" s="6">
        <f t="shared" si="2"/>
        <v>10022.415607865212</v>
      </c>
    </row>
    <row r="19" spans="1:14" x14ac:dyDescent="0.2">
      <c r="A19" t="s">
        <v>23</v>
      </c>
      <c r="B19" s="5">
        <f>(DATA!Y47/2)+(DATA!Z47/2)</f>
        <v>0</v>
      </c>
      <c r="C19" s="5">
        <f>(DATA!Z47/2)+(DATA!AA47/2)</f>
        <v>0</v>
      </c>
      <c r="D19" s="5">
        <f>(DATA!AA47/2)+(DATA!AB47/2)</f>
        <v>0</v>
      </c>
      <c r="E19" s="5">
        <f>(DATA!AB47/2)+(DATA!AC47/2)</f>
        <v>0</v>
      </c>
      <c r="F19" s="5">
        <f>(DATA!AC47/2)+(DATA!AD47/2)</f>
        <v>0</v>
      </c>
      <c r="G19" s="5">
        <f>(DATA!AD47/2)+(DATA!AE47/2)</f>
        <v>0</v>
      </c>
      <c r="H19" s="5">
        <f>(DATA!AE47/2)+(DATA!AF47/2)</f>
        <v>0</v>
      </c>
      <c r="I19" s="5">
        <f>(DATA!AF47/2)+(DATA!AG47/2)</f>
        <v>0</v>
      </c>
      <c r="J19" s="5">
        <f>(DATA!AG47/2)+(DATA!AH47/2)</f>
        <v>0</v>
      </c>
      <c r="K19" s="5">
        <f>(DATA!AH47/2)+(DATA!AI47/2)</f>
        <v>0</v>
      </c>
      <c r="L19" s="5">
        <f>(DATA!AI47/2)+(DATA!AJ47/2)</f>
        <v>0</v>
      </c>
      <c r="M19" s="5">
        <f>(DATA!AJ47/2)+(DATA!AK47/2)</f>
        <v>0</v>
      </c>
      <c r="N19" s="6">
        <f t="shared" si="2"/>
        <v>0</v>
      </c>
    </row>
    <row r="20" spans="1:14" x14ac:dyDescent="0.2">
      <c r="A20" t="s">
        <v>24</v>
      </c>
      <c r="B20" s="5">
        <f>(DATA!Y48/2)+(DATA!Z48/2)</f>
        <v>0</v>
      </c>
      <c r="C20" s="5">
        <f>(DATA!Z48/2)+(DATA!AA48/2)</f>
        <v>0</v>
      </c>
      <c r="D20" s="5">
        <f>(DATA!AA48/2)+(DATA!AB48/2)</f>
        <v>0</v>
      </c>
      <c r="E20" s="5">
        <f>(DATA!AB48/2)+(DATA!AC48/2)</f>
        <v>0</v>
      </c>
      <c r="F20" s="5">
        <f>(DATA!AC48/2)+(DATA!AD48/2)</f>
        <v>0</v>
      </c>
      <c r="G20" s="5">
        <f>(DATA!AD48/2)+(DATA!AE48/2)</f>
        <v>0</v>
      </c>
      <c r="H20" s="5">
        <f>(DATA!AE48/2)+(DATA!AF48/2)</f>
        <v>0</v>
      </c>
      <c r="I20" s="5">
        <f>(DATA!AF48/2)+(DATA!AG48/2)</f>
        <v>0</v>
      </c>
      <c r="J20" s="5">
        <f>(DATA!AG48/2)+(DATA!AH48/2)</f>
        <v>0</v>
      </c>
      <c r="K20" s="5">
        <f>(DATA!AH48/2)+(DATA!AI48/2)</f>
        <v>0</v>
      </c>
      <c r="L20" s="5">
        <f>(DATA!AI48/2)+(DATA!AJ48/2)</f>
        <v>0</v>
      </c>
      <c r="M20" s="5">
        <f>(DATA!AJ48/2)+(DATA!AK48/2)</f>
        <v>0</v>
      </c>
      <c r="N20" s="6">
        <f t="shared" si="2"/>
        <v>0</v>
      </c>
    </row>
    <row r="21" spans="1:14" x14ac:dyDescent="0.2">
      <c r="A21" t="s">
        <v>25</v>
      </c>
      <c r="B21" s="5">
        <f>(DATA!Y49/2)+(DATA!Z49/2)</f>
        <v>0</v>
      </c>
      <c r="C21" s="5">
        <f>(DATA!Z49/2)+(DATA!AA49/2)</f>
        <v>0</v>
      </c>
      <c r="D21" s="5">
        <f>(DATA!AA49/2)+(DATA!AB49/2)</f>
        <v>0</v>
      </c>
      <c r="E21" s="5">
        <f>(DATA!AB49/2)+(DATA!AC49/2)</f>
        <v>0</v>
      </c>
      <c r="F21" s="5">
        <f>(DATA!AC49/2)+(DATA!AD49/2)</f>
        <v>0</v>
      </c>
      <c r="G21" s="5">
        <f>(DATA!AD49/2)+(DATA!AE49/2)</f>
        <v>0</v>
      </c>
      <c r="H21" s="5">
        <f>(DATA!AE49/2)+(DATA!AF49/2)</f>
        <v>0</v>
      </c>
      <c r="I21" s="5">
        <f>(DATA!AF49/2)+(DATA!AG49/2)</f>
        <v>0</v>
      </c>
      <c r="J21" s="5">
        <f>(DATA!AG49/2)+(DATA!AH49/2)</f>
        <v>0</v>
      </c>
      <c r="K21" s="5">
        <f>(DATA!AH49/2)+(DATA!AI49/2)</f>
        <v>0</v>
      </c>
      <c r="L21" s="5">
        <f>(DATA!AI49/2)+(DATA!AJ49/2)</f>
        <v>0</v>
      </c>
      <c r="M21" s="5">
        <f>(DATA!AJ49/2)+(DATA!AK49/2)</f>
        <v>0</v>
      </c>
      <c r="N21" s="6">
        <f t="shared" si="2"/>
        <v>0</v>
      </c>
    </row>
    <row r="22" spans="1:14" x14ac:dyDescent="0.2">
      <c r="A22" t="s">
        <v>26</v>
      </c>
      <c r="B22" s="5">
        <f>(DATA!Y50/2)+(DATA!Z50/2)</f>
        <v>300</v>
      </c>
      <c r="C22" s="5">
        <f>(DATA!Z50/2)+(DATA!AA50/2)</f>
        <v>300</v>
      </c>
      <c r="D22" s="5">
        <f>(DATA!AA50/2)+(DATA!AB50/2)</f>
        <v>300</v>
      </c>
      <c r="E22" s="5">
        <f>(DATA!AB50/2)+(DATA!AC50/2)</f>
        <v>300</v>
      </c>
      <c r="F22" s="5">
        <f>(DATA!AC50/2)+(DATA!AD50/2)</f>
        <v>300</v>
      </c>
      <c r="G22" s="5">
        <f>(DATA!AD50/2)+(DATA!AE50/2)</f>
        <v>300</v>
      </c>
      <c r="H22" s="5">
        <f>(DATA!AE50/2)+(DATA!AF50/2)</f>
        <v>300</v>
      </c>
      <c r="I22" s="5">
        <f>(DATA!AF50/2)+(DATA!AG50/2)</f>
        <v>300</v>
      </c>
      <c r="J22" s="5">
        <f>(DATA!AG50/2)+(DATA!AH50/2)</f>
        <v>300</v>
      </c>
      <c r="K22" s="5">
        <f>(DATA!AH50/2)+(DATA!AI50/2)</f>
        <v>300</v>
      </c>
      <c r="L22" s="5">
        <f>(DATA!AI50/2)+(DATA!AJ50/2)</f>
        <v>300</v>
      </c>
      <c r="M22" s="5">
        <f>(DATA!AJ50/2)+(DATA!AK50/2)</f>
        <v>300</v>
      </c>
      <c r="N22" s="6">
        <f t="shared" si="2"/>
        <v>3600</v>
      </c>
    </row>
    <row r="23" spans="1:14" x14ac:dyDescent="0.2">
      <c r="A23" t="s">
        <v>27</v>
      </c>
      <c r="B23" s="5">
        <f>(DATA!Y51/2)+(DATA!Z51/2)</f>
        <v>592.64214057404024</v>
      </c>
      <c r="C23" s="5">
        <f>(DATA!Z51/2)+(DATA!AA51/2)</f>
        <v>604.5542475995785</v>
      </c>
      <c r="D23" s="5">
        <f>(DATA!AA51/2)+(DATA!AB51/2)</f>
        <v>616.70578797632993</v>
      </c>
      <c r="E23" s="5">
        <f>(DATA!AB51/2)+(DATA!AC51/2)</f>
        <v>629.10157431465404</v>
      </c>
      <c r="F23" s="5">
        <f>(DATA!AC51/2)+(DATA!AD51/2)</f>
        <v>641.74651595837861</v>
      </c>
      <c r="G23" s="5">
        <f>(DATA!AD51/2)+(DATA!AE51/2)</f>
        <v>654.64562092914207</v>
      </c>
      <c r="H23" s="5">
        <f>(DATA!AE51/2)+(DATA!AF51/2)</f>
        <v>667.80399790981801</v>
      </c>
      <c r="I23" s="5">
        <f>(DATA!AF51/2)+(DATA!AG51/2)</f>
        <v>681.22685826780526</v>
      </c>
      <c r="J23" s="5">
        <f>(DATA!AG51/2)+(DATA!AH51/2)</f>
        <v>694.91951811898821</v>
      </c>
      <c r="K23" s="5">
        <f>(DATA!AH51/2)+(DATA!AI51/2)</f>
        <v>708.88740043318001</v>
      </c>
      <c r="L23" s="5">
        <f>(DATA!AI51/2)+(DATA!AJ51/2)</f>
        <v>723.13603718188688</v>
      </c>
      <c r="M23" s="5">
        <f>(DATA!AJ51/2)+(DATA!AK51/2)</f>
        <v>737.67107152924291</v>
      </c>
      <c r="N23" s="6">
        <f t="shared" si="2"/>
        <v>7953.0407707930444</v>
      </c>
    </row>
    <row r="24" spans="1:14" x14ac:dyDescent="0.2">
      <c r="A24" t="s">
        <v>28</v>
      </c>
      <c r="B24" s="5">
        <f>(DATA!Y52/2)+(DATA!Z52/2)</f>
        <v>100</v>
      </c>
      <c r="C24" s="5">
        <f>(DATA!Z52/2)+(DATA!AA52/2)</f>
        <v>100</v>
      </c>
      <c r="D24" s="5">
        <f>(DATA!AA52/2)+(DATA!AB52/2)</f>
        <v>100</v>
      </c>
      <c r="E24" s="5">
        <f>(DATA!AB52/2)+(DATA!AC52/2)</f>
        <v>100</v>
      </c>
      <c r="F24" s="5">
        <f>(DATA!AC52/2)+(DATA!AD52/2)</f>
        <v>100</v>
      </c>
      <c r="G24" s="5">
        <f>(DATA!AD52/2)+(DATA!AE52/2)</f>
        <v>100</v>
      </c>
      <c r="H24" s="5">
        <f>(DATA!AE52/2)+(DATA!AF52/2)</f>
        <v>100</v>
      </c>
      <c r="I24" s="5">
        <f>(DATA!AF52/2)+(DATA!AG52/2)</f>
        <v>100</v>
      </c>
      <c r="J24" s="5">
        <f>(DATA!AG52/2)+(DATA!AH52/2)</f>
        <v>100</v>
      </c>
      <c r="K24" s="5">
        <f>(DATA!AH52/2)+(DATA!AI52/2)</f>
        <v>100</v>
      </c>
      <c r="L24" s="5">
        <f>(DATA!AI52/2)+(DATA!AJ52/2)</f>
        <v>100</v>
      </c>
      <c r="M24" s="5">
        <f>(DATA!AJ52/2)+(DATA!AK52/2)</f>
        <v>100</v>
      </c>
      <c r="N24" s="6">
        <f t="shared" si="2"/>
        <v>1200</v>
      </c>
    </row>
    <row r="25" spans="1:14" x14ac:dyDescent="0.2">
      <c r="A25" t="s">
        <v>29</v>
      </c>
      <c r="B25" s="5">
        <f>(DATA!Y53/2)+(DATA!Z53/2)</f>
        <v>100</v>
      </c>
      <c r="C25" s="5">
        <f>(DATA!Z53/2)+(DATA!AA53/2)</f>
        <v>100</v>
      </c>
      <c r="D25" s="5">
        <f>(DATA!AA53/2)+(DATA!AB53/2)</f>
        <v>100</v>
      </c>
      <c r="E25" s="5">
        <f>(DATA!AB53/2)+(DATA!AC53/2)</f>
        <v>100</v>
      </c>
      <c r="F25" s="5">
        <f>(DATA!AC53/2)+(DATA!AD53/2)</f>
        <v>100</v>
      </c>
      <c r="G25" s="5">
        <f>(DATA!AD53/2)+(DATA!AE53/2)</f>
        <v>100</v>
      </c>
      <c r="H25" s="5">
        <f>(DATA!AE53/2)+(DATA!AF53/2)</f>
        <v>100</v>
      </c>
      <c r="I25" s="5">
        <f>(DATA!AF53/2)+(DATA!AG53/2)</f>
        <v>100</v>
      </c>
      <c r="J25" s="5">
        <f>(DATA!AG53/2)+(DATA!AH53/2)</f>
        <v>100</v>
      </c>
      <c r="K25" s="5">
        <f>(DATA!AH53/2)+(DATA!AI53/2)</f>
        <v>100</v>
      </c>
      <c r="L25" s="5">
        <f>(DATA!AI53/2)+(DATA!AJ53/2)</f>
        <v>100</v>
      </c>
      <c r="M25" s="5">
        <f>(DATA!AJ53/2)+(DATA!AK53/2)</f>
        <v>100</v>
      </c>
      <c r="N25" s="6">
        <f t="shared" si="2"/>
        <v>1200</v>
      </c>
    </row>
    <row r="26" spans="1:14" x14ac:dyDescent="0.2">
      <c r="A26" t="s">
        <v>30</v>
      </c>
      <c r="B26" s="5">
        <f>(DATA!Y54/2)+(DATA!Z54/2)</f>
        <v>100</v>
      </c>
      <c r="C26" s="5">
        <f>(DATA!Z54/2)+(DATA!AA54/2)</f>
        <v>100</v>
      </c>
      <c r="D26" s="5">
        <f>(DATA!AA54/2)+(DATA!AB54/2)</f>
        <v>100</v>
      </c>
      <c r="E26" s="5">
        <f>(DATA!AB54/2)+(DATA!AC54/2)</f>
        <v>100</v>
      </c>
      <c r="F26" s="5">
        <f>(DATA!AC54/2)+(DATA!AD54/2)</f>
        <v>100</v>
      </c>
      <c r="G26" s="5">
        <f>(DATA!AD54/2)+(DATA!AE54/2)</f>
        <v>100</v>
      </c>
      <c r="H26" s="5">
        <f>(DATA!AE54/2)+(DATA!AF54/2)</f>
        <v>100</v>
      </c>
      <c r="I26" s="5">
        <f>(DATA!AF54/2)+(DATA!AG54/2)</f>
        <v>100</v>
      </c>
      <c r="J26" s="5">
        <f>(DATA!AG54/2)+(DATA!AH54/2)</f>
        <v>100</v>
      </c>
      <c r="K26" s="5">
        <f>(DATA!AH54/2)+(DATA!AI54/2)</f>
        <v>100</v>
      </c>
      <c r="L26" s="5">
        <f>(DATA!AI54/2)+(DATA!AJ54/2)</f>
        <v>100</v>
      </c>
      <c r="M26" s="5">
        <f>(DATA!AJ54/2)+(DATA!AK54/2)</f>
        <v>100</v>
      </c>
      <c r="N26" s="6">
        <f t="shared" si="2"/>
        <v>1200</v>
      </c>
    </row>
    <row r="27" spans="1:14" x14ac:dyDescent="0.2">
      <c r="A27" t="s">
        <v>31</v>
      </c>
      <c r="B27" s="5">
        <f>(DATA!Y55/2)+(DATA!Z55/2)</f>
        <v>100</v>
      </c>
      <c r="C27" s="5">
        <f>(DATA!Z55/2)+(DATA!AA55/2)</f>
        <v>100</v>
      </c>
      <c r="D27" s="5">
        <f>(DATA!AA55/2)+(DATA!AB55/2)</f>
        <v>100</v>
      </c>
      <c r="E27" s="5">
        <f>(DATA!AB55/2)+(DATA!AC55/2)</f>
        <v>100</v>
      </c>
      <c r="F27" s="5">
        <f>(DATA!AC55/2)+(DATA!AD55/2)</f>
        <v>100</v>
      </c>
      <c r="G27" s="5">
        <f>(DATA!AD55/2)+(DATA!AE55/2)</f>
        <v>100</v>
      </c>
      <c r="H27" s="5">
        <f>(DATA!AE55/2)+(DATA!AF55/2)</f>
        <v>100</v>
      </c>
      <c r="I27" s="5">
        <f>(DATA!AF55/2)+(DATA!AG55/2)</f>
        <v>100</v>
      </c>
      <c r="J27" s="5">
        <f>(DATA!AG55/2)+(DATA!AH55/2)</f>
        <v>100</v>
      </c>
      <c r="K27" s="5">
        <f>(DATA!AH55/2)+(DATA!AI55/2)</f>
        <v>100</v>
      </c>
      <c r="L27" s="5">
        <f>(DATA!AI55/2)+(DATA!AJ55/2)</f>
        <v>100</v>
      </c>
      <c r="M27" s="5">
        <f>(DATA!AJ55/2)+(DATA!AK55/2)</f>
        <v>100</v>
      </c>
      <c r="N27" s="6">
        <f t="shared" si="2"/>
        <v>1200</v>
      </c>
    </row>
    <row r="28" spans="1:14" x14ac:dyDescent="0.2">
      <c r="A28" t="s">
        <v>32</v>
      </c>
      <c r="B28" s="5">
        <f>(DATA!Y56/2)+(DATA!Z56/2)</f>
        <v>100</v>
      </c>
      <c r="C28" s="5">
        <f>(DATA!Z56/2)+(DATA!AA56/2)</f>
        <v>100</v>
      </c>
      <c r="D28" s="5">
        <f>(DATA!AA56/2)+(DATA!AB56/2)</f>
        <v>100</v>
      </c>
      <c r="E28" s="5">
        <f>(DATA!AB56/2)+(DATA!AC56/2)</f>
        <v>100</v>
      </c>
      <c r="F28" s="5">
        <f>(DATA!AC56/2)+(DATA!AD56/2)</f>
        <v>100</v>
      </c>
      <c r="G28" s="5">
        <f>(DATA!AD56/2)+(DATA!AE56/2)</f>
        <v>100</v>
      </c>
      <c r="H28" s="5">
        <f>(DATA!AE56/2)+(DATA!AF56/2)</f>
        <v>100</v>
      </c>
      <c r="I28" s="5">
        <f>(DATA!AF56/2)+(DATA!AG56/2)</f>
        <v>100</v>
      </c>
      <c r="J28" s="5">
        <f>(DATA!AG56/2)+(DATA!AH56/2)</f>
        <v>100</v>
      </c>
      <c r="K28" s="5">
        <f>(DATA!AH56/2)+(DATA!AI56/2)</f>
        <v>100</v>
      </c>
      <c r="L28" s="5">
        <f>(DATA!AI56/2)+(DATA!AJ56/2)</f>
        <v>100</v>
      </c>
      <c r="M28" s="5">
        <f>(DATA!AJ56/2)+(DATA!AK56/2)</f>
        <v>100</v>
      </c>
      <c r="N28" s="6">
        <f t="shared" si="2"/>
        <v>1200</v>
      </c>
    </row>
    <row r="29" spans="1:14" x14ac:dyDescent="0.2">
      <c r="A29" t="s">
        <v>33</v>
      </c>
      <c r="B29" s="5">
        <f>(DATA!Y57/2)+(DATA!Z57/2)</f>
        <v>100</v>
      </c>
      <c r="C29" s="5">
        <f>(DATA!Z57/2)+(DATA!AA57/2)</f>
        <v>100</v>
      </c>
      <c r="D29" s="5">
        <f>(DATA!AA57/2)+(DATA!AB57/2)</f>
        <v>100</v>
      </c>
      <c r="E29" s="5">
        <f>(DATA!AB57/2)+(DATA!AC57/2)</f>
        <v>100</v>
      </c>
      <c r="F29" s="5">
        <f>(DATA!AC57/2)+(DATA!AD57/2)</f>
        <v>100</v>
      </c>
      <c r="G29" s="5">
        <f>(DATA!AD57/2)+(DATA!AE57/2)</f>
        <v>100</v>
      </c>
      <c r="H29" s="5">
        <f>(DATA!AE57/2)+(DATA!AF57/2)</f>
        <v>100</v>
      </c>
      <c r="I29" s="5">
        <f>(DATA!AF57/2)+(DATA!AG57/2)</f>
        <v>100</v>
      </c>
      <c r="J29" s="5">
        <f>(DATA!AG57/2)+(DATA!AH57/2)</f>
        <v>100</v>
      </c>
      <c r="K29" s="5">
        <f>(DATA!AH57/2)+(DATA!AI57/2)</f>
        <v>100</v>
      </c>
      <c r="L29" s="5">
        <f>(DATA!AI57/2)+(DATA!AJ57/2)</f>
        <v>100</v>
      </c>
      <c r="M29" s="5">
        <f>(DATA!AJ57/2)+(DATA!AK57/2)</f>
        <v>100</v>
      </c>
      <c r="N29" s="6">
        <f t="shared" si="2"/>
        <v>1200</v>
      </c>
    </row>
    <row r="30" spans="1:14" x14ac:dyDescent="0.2">
      <c r="A30" t="s">
        <v>34</v>
      </c>
      <c r="B30" s="5">
        <f>(DATA!Y58/2)+(DATA!Z58/2)</f>
        <v>50</v>
      </c>
      <c r="C30" s="5">
        <f>(DATA!Z58/2)+(DATA!AA58/2)</f>
        <v>50</v>
      </c>
      <c r="D30" s="5">
        <f>(DATA!AA58/2)+(DATA!AB58/2)</f>
        <v>50</v>
      </c>
      <c r="E30" s="5">
        <f>(DATA!AB58/2)+(DATA!AC58/2)</f>
        <v>50</v>
      </c>
      <c r="F30" s="5">
        <f>(DATA!AC58/2)+(DATA!AD58/2)</f>
        <v>50</v>
      </c>
      <c r="G30" s="5">
        <f>(DATA!AD58/2)+(DATA!AE58/2)</f>
        <v>50</v>
      </c>
      <c r="H30" s="5">
        <f>(DATA!AE58/2)+(DATA!AF58/2)</f>
        <v>50</v>
      </c>
      <c r="I30" s="5">
        <f>(DATA!AF58/2)+(DATA!AG58/2)</f>
        <v>50</v>
      </c>
      <c r="J30" s="5">
        <f>(DATA!AG58/2)+(DATA!AH58/2)</f>
        <v>50</v>
      </c>
      <c r="K30" s="5">
        <f>(DATA!AH58/2)+(DATA!AI58/2)</f>
        <v>50</v>
      </c>
      <c r="L30" s="5">
        <f>(DATA!AI58/2)+(DATA!AJ58/2)</f>
        <v>50</v>
      </c>
      <c r="M30" s="5">
        <f>(DATA!AJ58/2)+(DATA!AK58/2)</f>
        <v>50</v>
      </c>
      <c r="N30" s="6">
        <f t="shared" si="2"/>
        <v>600</v>
      </c>
    </row>
    <row r="31" spans="1:14" x14ac:dyDescent="0.2">
      <c r="A31" t="s">
        <v>35</v>
      </c>
      <c r="B31" s="5">
        <f>(DATA!Y59/2)+(DATA!Z59/2)</f>
        <v>0</v>
      </c>
      <c r="C31" s="5">
        <f>(DATA!Z59/2)+(DATA!AA59/2)</f>
        <v>0</v>
      </c>
      <c r="D31" s="5">
        <f>(DATA!AA59/2)+(DATA!AB59/2)</f>
        <v>0</v>
      </c>
      <c r="E31" s="5">
        <f>(DATA!AB59/2)+(DATA!AC59/2)</f>
        <v>0</v>
      </c>
      <c r="F31" s="5">
        <f>(DATA!AC59/2)+(DATA!AD59/2)</f>
        <v>0</v>
      </c>
      <c r="G31" s="5">
        <f>(DATA!AD59/2)+(DATA!AE59/2)</f>
        <v>0</v>
      </c>
      <c r="H31" s="5">
        <f>(DATA!AE59/2)+(DATA!AF59/2)</f>
        <v>0</v>
      </c>
      <c r="I31" s="5">
        <f>(DATA!AF59/2)+(DATA!AG59/2)</f>
        <v>0</v>
      </c>
      <c r="J31" s="5">
        <f>(DATA!AG59/2)+(DATA!AH59/2)</f>
        <v>0</v>
      </c>
      <c r="K31" s="5">
        <f>(DATA!AH59/2)+(DATA!AI59/2)</f>
        <v>0</v>
      </c>
      <c r="L31" s="5">
        <f>(DATA!AI59/2)+(DATA!AJ59/2)</f>
        <v>0</v>
      </c>
      <c r="M31" s="5">
        <f>(DATA!AJ59/2)+(DATA!AK59/2)</f>
        <v>0</v>
      </c>
      <c r="N31" s="6">
        <f t="shared" si="2"/>
        <v>0</v>
      </c>
    </row>
    <row r="32" spans="1:14" x14ac:dyDescent="0.2">
      <c r="A32" t="s">
        <v>86</v>
      </c>
      <c r="B32" s="5">
        <f>SalaryModule!Z10</f>
        <v>0</v>
      </c>
      <c r="C32" s="5">
        <f>SalaryModule!AA10</f>
        <v>0</v>
      </c>
      <c r="D32" s="5">
        <f>SalaryModule!AB10</f>
        <v>0</v>
      </c>
      <c r="E32" s="5">
        <f>SalaryModule!AC10</f>
        <v>0</v>
      </c>
      <c r="F32" s="5">
        <f>SalaryModule!AD10</f>
        <v>0</v>
      </c>
      <c r="G32" s="5">
        <f>SalaryModule!AE10</f>
        <v>0</v>
      </c>
      <c r="H32" s="5">
        <f>SalaryModule!AF10</f>
        <v>0</v>
      </c>
      <c r="I32" s="5">
        <f>SalaryModule!AG10</f>
        <v>0</v>
      </c>
      <c r="J32" s="5">
        <f>SalaryModule!AH10</f>
        <v>0</v>
      </c>
      <c r="K32" s="5">
        <f>SalaryModule!AI10</f>
        <v>0</v>
      </c>
      <c r="L32" s="5">
        <f>SalaryModule!AJ10</f>
        <v>0</v>
      </c>
      <c r="M32" s="5">
        <f>SalaryModule!AK10</f>
        <v>0</v>
      </c>
      <c r="N32" s="6">
        <f t="shared" si="2"/>
        <v>0</v>
      </c>
    </row>
    <row r="33" spans="1:14" x14ac:dyDescent="0.2">
      <c r="A33" t="s">
        <v>87</v>
      </c>
      <c r="B33" s="5">
        <f>LoanModule!D33</f>
        <v>194.11690529366038</v>
      </c>
      <c r="C33" s="5">
        <f>LoanModule!D34</f>
        <v>189.328099709094</v>
      </c>
      <c r="D33" s="5">
        <f>LoanModule!D35</f>
        <v>184.50736875396387</v>
      </c>
      <c r="E33" s="5">
        <f>LoanModule!D36</f>
        <v>179.65449959246621</v>
      </c>
      <c r="F33" s="5">
        <f>LoanModule!D37</f>
        <v>174.76927796989187</v>
      </c>
      <c r="G33" s="5">
        <f>LoanModule!D38</f>
        <v>169.85148820316707</v>
      </c>
      <c r="H33" s="5">
        <f>LoanModule!D39</f>
        <v>164.90091317133073</v>
      </c>
      <c r="I33" s="5">
        <f>LoanModule!D40</f>
        <v>159.91733430594883</v>
      </c>
      <c r="J33" s="5">
        <f>LoanModule!D41</f>
        <v>154.90053158146438</v>
      </c>
      <c r="K33" s="5">
        <f>LoanModule!D42</f>
        <v>149.85028350548339</v>
      </c>
      <c r="L33" s="5">
        <f>LoanModule!D43</f>
        <v>144.76636710899584</v>
      </c>
      <c r="M33" s="5">
        <f>LoanModule!D44</f>
        <v>139.64855793653172</v>
      </c>
      <c r="N33" s="6">
        <f t="shared" si="2"/>
        <v>2006.2116271319983</v>
      </c>
    </row>
    <row r="34" spans="1:14" x14ac:dyDescent="0.2">
      <c r="A34" t="s">
        <v>104</v>
      </c>
      <c r="B34" s="5">
        <f>LoanModule!E33</f>
        <v>718.32083768495522</v>
      </c>
      <c r="C34" s="5">
        <f>LoanModule!E34</f>
        <v>723.1096432695216</v>
      </c>
      <c r="D34" s="5">
        <f>LoanModule!E35</f>
        <v>727.9303742246517</v>
      </c>
      <c r="E34" s="5">
        <f>LoanModule!E36</f>
        <v>732.78324338614937</v>
      </c>
      <c r="F34" s="5">
        <f>LoanModule!E37</f>
        <v>737.66846500872373</v>
      </c>
      <c r="G34" s="5">
        <f>LoanModule!E38</f>
        <v>742.58625477544854</v>
      </c>
      <c r="H34" s="5">
        <f>LoanModule!E39</f>
        <v>747.5368298072849</v>
      </c>
      <c r="I34" s="5">
        <f>LoanModule!E40</f>
        <v>752.52040867266669</v>
      </c>
      <c r="J34" s="5">
        <f>LoanModule!E41</f>
        <v>757.53721139715117</v>
      </c>
      <c r="K34" s="5">
        <f>LoanModule!E42</f>
        <v>762.58745947313218</v>
      </c>
      <c r="L34" s="5">
        <f>LoanModule!E43</f>
        <v>767.67137586961974</v>
      </c>
      <c r="M34" s="5">
        <f>LoanModule!E44</f>
        <v>772.78918504208389</v>
      </c>
      <c r="N34" s="6">
        <f t="shared" si="2"/>
        <v>8943.04128861139</v>
      </c>
    </row>
    <row r="35" spans="1:14" x14ac:dyDescent="0.2">
      <c r="A35" t="s">
        <v>18</v>
      </c>
      <c r="B35" s="5">
        <f>DATA!Z41</f>
        <v>0</v>
      </c>
      <c r="C35" s="5">
        <f>DATA!AA41</f>
        <v>0</v>
      </c>
      <c r="D35" s="5">
        <f>DATA!AB41</f>
        <v>0</v>
      </c>
      <c r="E35" s="5">
        <f>DATA!AC41</f>
        <v>0</v>
      </c>
      <c r="F35" s="5">
        <f>DATA!AD41</f>
        <v>0</v>
      </c>
      <c r="G35" s="5">
        <f>DATA!AE41</f>
        <v>0</v>
      </c>
      <c r="H35" s="5">
        <f>DATA!AF41</f>
        <v>0</v>
      </c>
      <c r="I35" s="5">
        <f>DATA!AG41</f>
        <v>0</v>
      </c>
      <c r="J35" s="5">
        <f>DATA!AH41</f>
        <v>0</v>
      </c>
      <c r="K35" s="5">
        <f>DATA!AI41</f>
        <v>0</v>
      </c>
      <c r="L35" s="5">
        <f>DATA!AJ41</f>
        <v>0</v>
      </c>
      <c r="M35" s="5">
        <f>DATA!AK41</f>
        <v>0</v>
      </c>
      <c r="N35" s="6">
        <f t="shared" si="2"/>
        <v>0</v>
      </c>
    </row>
    <row r="36" spans="1:14" x14ac:dyDescent="0.2">
      <c r="A36" t="s">
        <v>105</v>
      </c>
      <c r="B36" s="5">
        <f>IF(DATA!E19=B5,DATA!B19,0)+IF(DATA!E22=B5,DATA!B22,0)</f>
        <v>0</v>
      </c>
      <c r="C36" s="5">
        <f>IF(DATA!E19=C5,DATA!B19,0)+IF(DATA!E22=C5,DATA!B22,0)</f>
        <v>0</v>
      </c>
      <c r="D36" s="5">
        <f>IF(DATA!E19=D5,DATA!B19,0)+IF(DATA!E22=D5,DATA!B22,0)</f>
        <v>0</v>
      </c>
      <c r="E36" s="5">
        <f>IF(DATA!E19=E5,DATA!B19,0)+IF(DATA!E22=E5,DATA!B22,0)</f>
        <v>0</v>
      </c>
      <c r="F36" s="5">
        <f>IF(DATA!E19=F5,DATA!B19,0)+IF(DATA!E22=F5,DATA!B22,0)</f>
        <v>0</v>
      </c>
      <c r="G36" s="5">
        <f>IF(DATA!E19=G5,DATA!B19,0)+IF(DATA!E22=G5,DATA!B22,0)</f>
        <v>0</v>
      </c>
      <c r="H36" s="5">
        <f>IF(DATA!E19=H5,DATA!B19,0)+IF(DATA!E22=H5,DATA!B22,0)</f>
        <v>0</v>
      </c>
      <c r="I36" s="5">
        <f>IF(DATA!E19=I5,DATA!B19,0)+IF(DATA!E22=I5,DATA!B22,0)</f>
        <v>0</v>
      </c>
      <c r="J36" s="5">
        <f>IF(DATA!E19=J5,DATA!B19,0)+IF(DATA!E22=J5,DATA!B22,0)</f>
        <v>0</v>
      </c>
      <c r="K36" s="5">
        <f>IF(DATA!E19=K5,DATA!B19,0)+IF(DATA!E22=K5,DATA!B22,0)</f>
        <v>0</v>
      </c>
      <c r="L36" s="5">
        <f>IF(DATA!E19=L5,DATA!B19,0)+IF(DATA!E22=L5,DATA!B22,0)</f>
        <v>0</v>
      </c>
      <c r="M36" s="5">
        <f>IF(DATA!E19=M5,DATA!B19,0)+IF(DATA!E22=M5,DATA!B22,0)</f>
        <v>0</v>
      </c>
      <c r="N36" s="6">
        <f t="shared" si="2"/>
        <v>0</v>
      </c>
    </row>
    <row r="37" spans="1:14" x14ac:dyDescent="0.2">
      <c r="A37" t="s">
        <v>106</v>
      </c>
      <c r="B37" s="5">
        <f>((DATA!B61*DATA!Y66)/2)+((DATA!B61*DATA!Z66)/2)</f>
        <v>0</v>
      </c>
      <c r="C37" s="5">
        <f>((DATA!B61*DATA!Z66)/2)+((DATA!B61*DATA!AA66)/2)</f>
        <v>0</v>
      </c>
      <c r="D37" s="5">
        <f>((DATA!B61*DATA!AA66)/2)+((DATA!B61*DATA!AB66)/2)</f>
        <v>0</v>
      </c>
      <c r="E37" s="5">
        <f>((DATA!B61*DATA!AB66)/2)+((DATA!B61*DATA!AC66)/2)</f>
        <v>0</v>
      </c>
      <c r="F37" s="5">
        <f>((DATA!B61*DATA!AC66)/2)+((DATA!B61*DATA!AD66)/2)</f>
        <v>0</v>
      </c>
      <c r="G37" s="5">
        <f>((DATA!B61*DATA!AD66)/2)+((DATA!B61*DATA!AE66)/2)</f>
        <v>0</v>
      </c>
      <c r="H37" s="5">
        <f>((DATA!B61*DATA!AE66)/2)+((DATA!B61*DATA!AF66)/2)</f>
        <v>0</v>
      </c>
      <c r="I37" s="5">
        <f>((DATA!B61*DATA!AF66)/2)+((DATA!B61*DATA!AG66)/2)</f>
        <v>0</v>
      </c>
      <c r="J37" s="5">
        <f>((DATA!B61*DATA!AG66)/2)+((DATA!B61*DATA!AH66)/2)</f>
        <v>0</v>
      </c>
      <c r="K37" s="5">
        <f>((DATA!B61*DATA!AH66)/2)+((DATA!B61*DATA!AI66)/2)</f>
        <v>0</v>
      </c>
      <c r="L37" s="5">
        <f>((DATA!B61*DATA!AI66)/2)+((DATA!B61*DATA!AJ66)/2)</f>
        <v>0</v>
      </c>
      <c r="M37" s="5">
        <f>((DATA!B61*DATA!AJ66)/2)+((DATA!B61*DATA!AK66)/2)</f>
        <v>0</v>
      </c>
      <c r="N37" s="6">
        <f t="shared" si="2"/>
        <v>0</v>
      </c>
    </row>
    <row r="38" spans="1:14" x14ac:dyDescent="0.2">
      <c r="A38" t="s">
        <v>92</v>
      </c>
      <c r="B38" s="5">
        <f>IncomeStatement_Year3!B41</f>
        <v>0</v>
      </c>
      <c r="C38" s="5">
        <f>IncomeStatement_Year3!C41</f>
        <v>0</v>
      </c>
      <c r="D38" s="5">
        <f>IncomeStatement_Year3!D41</f>
        <v>0</v>
      </c>
      <c r="E38" s="5">
        <f>IncomeStatement_Year3!E41</f>
        <v>0</v>
      </c>
      <c r="F38" s="5">
        <f>IncomeStatement_Year3!F41</f>
        <v>0</v>
      </c>
      <c r="G38" s="5">
        <f>IncomeStatement_Year3!G41</f>
        <v>0</v>
      </c>
      <c r="H38" s="5">
        <f>IncomeStatement_Year3!H41</f>
        <v>0</v>
      </c>
      <c r="I38" s="5">
        <f>IncomeStatement_Year3!I41</f>
        <v>0</v>
      </c>
      <c r="J38" s="5">
        <f>IncomeStatement_Year3!J41</f>
        <v>0</v>
      </c>
      <c r="K38" s="5">
        <f>IncomeStatement_Year3!K41</f>
        <v>0</v>
      </c>
      <c r="L38" s="5">
        <f>IncomeStatement_Year3!L41</f>
        <v>0</v>
      </c>
      <c r="M38" s="5">
        <f>IncomeStatement_Year3!M41</f>
        <v>0</v>
      </c>
      <c r="N38" s="6">
        <f t="shared" si="2"/>
        <v>0</v>
      </c>
    </row>
    <row r="39" spans="1:14" x14ac:dyDescent="0.2">
      <c r="A39" t="s">
        <v>107</v>
      </c>
      <c r="B39" s="5">
        <f>IncomeStatement_Year2!M10*DATA!B3-IncomeStatement_Year3!B10*DATA!B3</f>
        <v>-32.164313266772979</v>
      </c>
      <c r="C39" s="5">
        <f>IncomeStatement_Year3!B10*DATA!B3-IncomeStatement_Year3!C10*DATA!B3</f>
        <v>-32.810815963435516</v>
      </c>
      <c r="D39" s="5">
        <f>IncomeStatement_Year3!C10*DATA!B3-IncomeStatement_Year3!D10*DATA!B3</f>
        <v>-33.470313364299727</v>
      </c>
      <c r="E39" s="5">
        <f>IncomeStatement_Year3!D10*DATA!B3-IncomeStatement_Year3!E10*DATA!B3</f>
        <v>-34.14306666292282</v>
      </c>
      <c r="F39" s="5">
        <f>IncomeStatement_Year3!E10*DATA!B3-IncomeStatement_Year3!F10*DATA!B3</f>
        <v>-34.829342302847863</v>
      </c>
      <c r="G39" s="5">
        <f>IncomeStatement_Year3!F10*DATA!B3-IncomeStatement_Year3!G10*DATA!B3</f>
        <v>-35.52941208313473</v>
      </c>
      <c r="H39" s="5">
        <f>IncomeStatement_Year3!G10*DATA!B3-IncomeStatement_Year3!H10*DATA!B3</f>
        <v>-36.243553266005847</v>
      </c>
      <c r="I39" s="5">
        <f>IncomeStatement_Year3!H10*DATA!B3-IncomeStatement_Year3!I10*DATA!B3</f>
        <v>-36.972048686652897</v>
      </c>
      <c r="J39" s="5">
        <f>IncomeStatement_Year3!I10*DATA!B3-IncomeStatement_Year3!J10*DATA!B3</f>
        <v>-37.715186865254282</v>
      </c>
      <c r="K39" s="5">
        <f>IncomeStatement_Year3!J10*DATA!B3-IncomeStatement_Year3!K10*DATA!B3</f>
        <v>-38.473262121245853</v>
      </c>
      <c r="L39" s="5">
        <f>IncomeStatement_Year3!K10*DATA!B3-IncomeStatement_Year3!L10*DATA!B3</f>
        <v>-39.246574689882891</v>
      </c>
      <c r="M39" s="5">
        <f>IncomeStatement_Year3!L10*DATA!B3-IncomeStatement_Year3!M10*DATA!B3</f>
        <v>-40.035430841149719</v>
      </c>
      <c r="N39" s="6">
        <f t="shared" si="2"/>
        <v>-431.63332011360512</v>
      </c>
    </row>
    <row r="40" spans="1:14" x14ac:dyDescent="0.2">
      <c r="A40" s="4" t="s">
        <v>108</v>
      </c>
      <c r="B40" s="8">
        <f t="shared" ref="B40:M40" si="3">SUM(B15:B38)-B39</f>
        <v>16793.799241751502</v>
      </c>
      <c r="C40" s="8">
        <f t="shared" si="3"/>
        <v>17110.736512738735</v>
      </c>
      <c r="D40" s="8">
        <f t="shared" si="3"/>
        <v>17434.98556811591</v>
      </c>
      <c r="E40" s="8">
        <f t="shared" si="3"/>
        <v>17766.740442011407</v>
      </c>
      <c r="F40" s="8">
        <f t="shared" si="3"/>
        <v>18106.201422002719</v>
      </c>
      <c r="G40" s="8">
        <f t="shared" si="3"/>
        <v>18453.575292478901</v>
      </c>
      <c r="H40" s="8">
        <f t="shared" si="3"/>
        <v>18809.075588778043</v>
      </c>
      <c r="I40" s="8">
        <f t="shared" si="3"/>
        <v>19172.9228626105</v>
      </c>
      <c r="J40" s="8">
        <f t="shared" si="3"/>
        <v>19545.344959303591</v>
      </c>
      <c r="K40" s="8">
        <f t="shared" si="3"/>
        <v>19926.577307429634</v>
      </c>
      <c r="L40" s="8">
        <f t="shared" si="3"/>
        <v>20316.863221406908</v>
      </c>
      <c r="M40" s="8">
        <f t="shared" si="3"/>
        <v>20716.454217691709</v>
      </c>
      <c r="N40" s="8">
        <f t="shared" si="2"/>
        <v>224153.27663631953</v>
      </c>
    </row>
    <row r="42" spans="1:14" x14ac:dyDescent="0.2">
      <c r="A42" s="4" t="s">
        <v>109</v>
      </c>
      <c r="B42" s="9">
        <f t="shared" ref="B42:M42" si="4">B12-B40</f>
        <v>4971.2528069617838</v>
      </c>
      <c r="C42" s="9">
        <f t="shared" si="4"/>
        <v>5091.7930821536866</v>
      </c>
      <c r="D42" s="9">
        <f t="shared" si="4"/>
        <v>5213.8148716338437</v>
      </c>
      <c r="E42" s="9">
        <f t="shared" si="4"/>
        <v>5337.3008865773154</v>
      </c>
      <c r="F42" s="9">
        <f t="shared" si="4"/>
        <v>5462.2311372906406</v>
      </c>
      <c r="G42" s="9">
        <f t="shared" si="4"/>
        <v>5588.5827612562571</v>
      </c>
      <c r="H42" s="9">
        <f t="shared" si="4"/>
        <v>5716.3298418371924</v>
      </c>
      <c r="I42" s="9">
        <f t="shared" si="4"/>
        <v>5845.4432171601038</v>
      </c>
      <c r="J42" s="9">
        <f t="shared" si="4"/>
        <v>5975.8902786704057</v>
      </c>
      <c r="K42" s="9">
        <f t="shared" si="4"/>
        <v>6107.6347588276403</v>
      </c>
      <c r="L42" s="9">
        <f t="shared" si="4"/>
        <v>6240.6365073821398</v>
      </c>
      <c r="M42" s="9">
        <f t="shared" si="4"/>
        <v>6374.8512556460009</v>
      </c>
      <c r="N42" s="9">
        <f>SUM(B42:M42)</f>
        <v>67925.761405397017</v>
      </c>
    </row>
    <row r="44" spans="1:14" x14ac:dyDescent="0.2">
      <c r="A44" s="4" t="s">
        <v>110</v>
      </c>
      <c r="B44" s="6">
        <f>B42</f>
        <v>4971.2528069617838</v>
      </c>
      <c r="C44" s="6">
        <f t="shared" ref="C44:M44" si="5">B44+C42</f>
        <v>10063.04588911547</v>
      </c>
      <c r="D44" s="6">
        <f t="shared" si="5"/>
        <v>15276.860760749314</v>
      </c>
      <c r="E44" s="6">
        <f t="shared" si="5"/>
        <v>20614.161647326629</v>
      </c>
      <c r="F44" s="6">
        <f t="shared" si="5"/>
        <v>26076.39278461727</v>
      </c>
      <c r="G44" s="6">
        <f t="shared" si="5"/>
        <v>31664.975545873527</v>
      </c>
      <c r="H44" s="6">
        <f t="shared" si="5"/>
        <v>37381.305387710716</v>
      </c>
      <c r="I44" s="6">
        <f t="shared" si="5"/>
        <v>43226.748604870823</v>
      </c>
      <c r="J44" s="6">
        <f t="shared" si="5"/>
        <v>49202.638883541229</v>
      </c>
      <c r="K44" s="6">
        <f t="shared" si="5"/>
        <v>55310.273642368869</v>
      </c>
      <c r="L44" s="6">
        <f t="shared" si="5"/>
        <v>61550.910149751013</v>
      </c>
      <c r="M44" s="6">
        <f t="shared" si="5"/>
        <v>67925.761405397017</v>
      </c>
      <c r="N44" s="6">
        <f>M44</f>
        <v>67925.761405397017</v>
      </c>
    </row>
    <row r="49" spans="1:1" x14ac:dyDescent="0.2">
      <c r="A49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5"/>
  <sheetViews>
    <sheetView topLeftCell="A5" workbookViewId="0">
      <selection activeCell="B5" sqref="B5"/>
    </sheetView>
  </sheetViews>
  <sheetFormatPr baseColWidth="10" defaultColWidth="8.83203125" defaultRowHeight="15" x14ac:dyDescent="0.2"/>
  <cols>
    <col min="1" max="1" width="34.1640625" bestFit="1" customWidth="1"/>
    <col min="2" max="14" width="11.6640625" bestFit="1" customWidth="1"/>
  </cols>
  <sheetData>
    <row r="1" spans="1:14" x14ac:dyDescent="0.2">
      <c r="A1" t="str">
        <f>DATA!B1</f>
        <v>Example Food Truck</v>
      </c>
    </row>
    <row r="2" spans="1:14" x14ac:dyDescent="0.2">
      <c r="A2" t="s">
        <v>111</v>
      </c>
    </row>
    <row r="3" spans="1:14" x14ac:dyDescent="0.2">
      <c r="A3" t="s">
        <v>78</v>
      </c>
    </row>
    <row r="5" spans="1:14" x14ac:dyDescent="0.2">
      <c r="A5" t="s">
        <v>112</v>
      </c>
      <c r="B5" s="12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1:14" x14ac:dyDescent="0.2">
      <c r="B6" s="12"/>
    </row>
    <row r="7" spans="1:14" x14ac:dyDescent="0.2">
      <c r="A7" t="s">
        <v>113</v>
      </c>
      <c r="B7" s="12"/>
    </row>
    <row r="8" spans="1:14" x14ac:dyDescent="0.2">
      <c r="A8" t="s">
        <v>114</v>
      </c>
      <c r="B8" s="12"/>
    </row>
    <row r="9" spans="1:14" x14ac:dyDescent="0.2">
      <c r="A9" t="s">
        <v>115</v>
      </c>
      <c r="B9" s="11">
        <f>StartupCosts!B2</f>
        <v>0</v>
      </c>
      <c r="C9" s="11">
        <f>CashFlowStatement_Year1!C7+CashFlowStatement_Year1!C42</f>
        <v>5011.9372570213854</v>
      </c>
      <c r="D9" s="11">
        <f>CashFlowStatement_Year1!D7+CashFlowStatement_Year1!D42</f>
        <v>6130.0419515427711</v>
      </c>
      <c r="E9" s="11">
        <f>CashFlowStatement_Year1!E7+CashFlowStatement_Year1!E42</f>
        <v>8834.0860490579053</v>
      </c>
      <c r="F9" s="11">
        <f>CashFlowStatement_Year1!F7+CashFlowStatement_Year1!F42</f>
        <v>11625.490456566962</v>
      </c>
      <c r="G9" s="11">
        <f>CashFlowStatement_Year1!G7+CashFlowStatement_Year1!G42</f>
        <v>14505.689317550825</v>
      </c>
      <c r="H9" s="11">
        <f>CashFlowStatement_Year1!H7+CashFlowStatement_Year1!H42</f>
        <v>17476.129511836836</v>
      </c>
      <c r="I9" s="11">
        <f>CashFlowStatement_Year1!I7+CashFlowStatement_Year1!I42</f>
        <v>20538.270107102489</v>
      </c>
      <c r="J9" s="11">
        <f>CashFlowStatement_Year1!J7+CashFlowStatement_Year1!J42</f>
        <v>23693.581759129509</v>
      </c>
      <c r="K9" s="11">
        <f>CashFlowStatement_Year1!K7+CashFlowStatement_Year1!K42</f>
        <v>26943.546057766929</v>
      </c>
      <c r="L9" s="11">
        <f>CashFlowStatement_Year1!L7+CashFlowStatement_Year1!L42</f>
        <v>30289.654815400161</v>
      </c>
      <c r="M9" s="11">
        <f>CashFlowStatement_Year1!M7+CashFlowStatement_Year1!M42</f>
        <v>33733.409294552985</v>
      </c>
      <c r="N9" s="11">
        <f>CashFlowStatement_Year1!N7+CashFlowStatement_Year1!N42</f>
        <v>37276.319371070807</v>
      </c>
    </row>
    <row r="10" spans="1:14" x14ac:dyDescent="0.2">
      <c r="A10" t="s">
        <v>116</v>
      </c>
      <c r="B10" s="11">
        <f>0</f>
        <v>0</v>
      </c>
      <c r="C10" s="11">
        <f>IncomeStatement_Year1!B8-CashFlowStatement_Year1!C10</f>
        <v>0</v>
      </c>
      <c r="D10" s="11">
        <f>IncomeStatement_Year1!C8-CashFlowStatement_Year1!D10+C10</f>
        <v>0</v>
      </c>
      <c r="E10" s="11">
        <f>IncomeStatement_Year1!D8-CashFlowStatement_Year1!E10+D10</f>
        <v>0</v>
      </c>
      <c r="F10" s="11">
        <f>IncomeStatement_Year1!E8-CashFlowStatement_Year1!F10+E10</f>
        <v>0</v>
      </c>
      <c r="G10" s="11">
        <f>IncomeStatement_Year1!F8-CashFlowStatement_Year1!G10+F10</f>
        <v>0</v>
      </c>
      <c r="H10" s="11">
        <f>IncomeStatement_Year1!G8-CashFlowStatement_Year1!H10+G10</f>
        <v>0</v>
      </c>
      <c r="I10" s="11">
        <f>IncomeStatement_Year1!H8-CashFlowStatement_Year1!I10+H10</f>
        <v>0</v>
      </c>
      <c r="J10" s="11">
        <f>IncomeStatement_Year1!I8-CashFlowStatement_Year1!J10+I10</f>
        <v>0</v>
      </c>
      <c r="K10" s="11">
        <f>IncomeStatement_Year1!J8-CashFlowStatement_Year1!K10+J10</f>
        <v>0</v>
      </c>
      <c r="L10" s="11">
        <f>IncomeStatement_Year1!K8-CashFlowStatement_Year1!L10+K10</f>
        <v>0</v>
      </c>
      <c r="M10" s="11">
        <f>IncomeStatement_Year1!L8-CashFlowStatement_Year1!M10+L10</f>
        <v>0</v>
      </c>
      <c r="N10" s="11">
        <f>IncomeStatement_Year1!M8-CashFlowStatement_Year1!N10+M10</f>
        <v>0</v>
      </c>
    </row>
    <row r="11" spans="1:14" x14ac:dyDescent="0.2">
      <c r="A11" t="s">
        <v>117</v>
      </c>
      <c r="B11" s="11">
        <f>StartupCosts!B5</f>
        <v>0</v>
      </c>
      <c r="C11" s="11">
        <f>IncomeStatement_Year1!B10*DATA!B3</f>
        <v>1012.4999999999999</v>
      </c>
      <c r="D11" s="11">
        <f>IncomeStatement_Year1!C10*DATA!B3</f>
        <v>1032.8512499999999</v>
      </c>
      <c r="E11" s="11">
        <f>IncomeStatement_Year1!D10*DATA!B3</f>
        <v>1053.6115601250001</v>
      </c>
      <c r="F11" s="11">
        <f>IncomeStatement_Year1!E10*DATA!B3</f>
        <v>1074.7891524835125</v>
      </c>
      <c r="G11" s="11">
        <f>IncomeStatement_Year1!F10*DATA!B3</f>
        <v>1096.3924144484313</v>
      </c>
      <c r="H11" s="11">
        <f>IncomeStatement_Year1!G10*DATA!B3</f>
        <v>1118.4299019788448</v>
      </c>
      <c r="I11" s="11">
        <f>IncomeStatement_Year1!H10*DATA!B3</f>
        <v>1140.9103430086193</v>
      </c>
      <c r="J11" s="11">
        <f>IncomeStatement_Year1!I10*DATA!B3</f>
        <v>1163.8426409030926</v>
      </c>
      <c r="K11" s="11">
        <f>IncomeStatement_Year1!J10*DATA!B3</f>
        <v>1187.2358779852448</v>
      </c>
      <c r="L11" s="11">
        <f>IncomeStatement_Year1!K10*DATA!B3</f>
        <v>1211.0993191327482</v>
      </c>
      <c r="M11" s="11">
        <f>IncomeStatement_Year1!L10*DATA!B3</f>
        <v>1235.4424154473165</v>
      </c>
      <c r="N11" s="11">
        <f>IncomeStatement_Year1!M10*DATA!B3</f>
        <v>1260.2748079978078</v>
      </c>
    </row>
    <row r="12" spans="1:14" x14ac:dyDescent="0.2">
      <c r="A12" s="4" t="s">
        <v>118</v>
      </c>
      <c r="B12" s="13">
        <f t="shared" ref="B12:N12" si="0">SUM(B9:B11)</f>
        <v>0</v>
      </c>
      <c r="C12" s="13">
        <f t="shared" si="0"/>
        <v>6024.4372570213854</v>
      </c>
      <c r="D12" s="13">
        <f t="shared" si="0"/>
        <v>7162.8932015427708</v>
      </c>
      <c r="E12" s="13">
        <f t="shared" si="0"/>
        <v>9887.6976091829056</v>
      </c>
      <c r="F12" s="13">
        <f t="shared" si="0"/>
        <v>12700.279609050474</v>
      </c>
      <c r="G12" s="13">
        <f t="shared" si="0"/>
        <v>15602.081731999257</v>
      </c>
      <c r="H12" s="13">
        <f t="shared" si="0"/>
        <v>18594.559413815681</v>
      </c>
      <c r="I12" s="13">
        <f t="shared" si="0"/>
        <v>21679.180450111107</v>
      </c>
      <c r="J12" s="13">
        <f t="shared" si="0"/>
        <v>24857.4244000326</v>
      </c>
      <c r="K12" s="13">
        <f t="shared" si="0"/>
        <v>28130.781935752173</v>
      </c>
      <c r="L12" s="13">
        <f t="shared" si="0"/>
        <v>31500.754134532908</v>
      </c>
      <c r="M12" s="13">
        <f t="shared" si="0"/>
        <v>34968.851710000301</v>
      </c>
      <c r="N12" s="13">
        <f t="shared" si="0"/>
        <v>38536.594179068612</v>
      </c>
    </row>
    <row r="13" spans="1:14" x14ac:dyDescent="0.2">
      <c r="B13" s="12"/>
    </row>
    <row r="14" spans="1:14" x14ac:dyDescent="0.2">
      <c r="A14" t="s">
        <v>119</v>
      </c>
      <c r="B14" s="12"/>
    </row>
    <row r="15" spans="1:14" x14ac:dyDescent="0.2">
      <c r="A15" t="s">
        <v>10</v>
      </c>
      <c r="B15" s="11">
        <f>IF(B5=DATA!E19,DATA!B19,0)</f>
        <v>12000</v>
      </c>
      <c r="C15" s="11">
        <f>IF(C5=DATA!E19,DATA!B19,0)+B15</f>
        <v>12000</v>
      </c>
      <c r="D15" s="11">
        <f>IF(D5=DATA!E19,DATA!B19,0)+C15</f>
        <v>12000</v>
      </c>
      <c r="E15" s="11">
        <f>IF(E5=DATA!E19,DATA!B19,0)+D15</f>
        <v>12000</v>
      </c>
      <c r="F15" s="11">
        <f>IF(F5=DATA!E19,DATA!B19,0)+E15</f>
        <v>12000</v>
      </c>
      <c r="G15" s="11">
        <f>IF(G5=DATA!E19,DATA!B19,0)+F15</f>
        <v>12000</v>
      </c>
      <c r="H15" s="11">
        <f>IF(H5=DATA!E19,DATA!B19,0)+G15</f>
        <v>12000</v>
      </c>
      <c r="I15" s="11">
        <f>IF(I5=DATA!E19,DATA!B19,0)+H15</f>
        <v>12000</v>
      </c>
      <c r="J15" s="11">
        <f>IF(J5=DATA!E19,DATA!B19,0)+I15</f>
        <v>12000</v>
      </c>
      <c r="K15" s="11">
        <f>IF(K5=DATA!E19,DATA!B19,0)+J15</f>
        <v>12000</v>
      </c>
      <c r="L15" s="11">
        <f>IF(L5=DATA!E19,DATA!B19,0)+K15</f>
        <v>12000</v>
      </c>
      <c r="M15" s="11">
        <f>IF(M5=DATA!E19,DATA!B19,0)+L15</f>
        <v>12000</v>
      </c>
      <c r="N15" s="11">
        <f>IF(N5=DATA!E19,DATA!B19,0)+M15</f>
        <v>12000</v>
      </c>
    </row>
    <row r="16" spans="1:14" x14ac:dyDescent="0.2">
      <c r="A16" t="s">
        <v>15</v>
      </c>
      <c r="B16" s="11">
        <f>IF(B5=DATA!E22,DATA!B22,0)</f>
        <v>5500</v>
      </c>
      <c r="C16" s="11">
        <f>IF(C5=DATA!E22,DATA!B22,0)+B16</f>
        <v>5500</v>
      </c>
      <c r="D16" s="11">
        <f>IF(D5=DATA!E22,DATA!B22,0)+C16</f>
        <v>5500</v>
      </c>
      <c r="E16" s="11">
        <f>IF(E5=DATA!E22,DATA!B22,0)+D16</f>
        <v>5500</v>
      </c>
      <c r="F16" s="11">
        <f>IF(F5=DATA!E22,DATA!B22,0)+E16</f>
        <v>5500</v>
      </c>
      <c r="G16" s="11">
        <f>IF(G5=DATA!E22,DATA!B22,0)+F16</f>
        <v>5500</v>
      </c>
      <c r="H16" s="11">
        <f>IF(H5=DATA!E22,DATA!B22,0)+G16</f>
        <v>5500</v>
      </c>
      <c r="I16" s="11">
        <f>IF(I5=DATA!E22,DATA!B22,0)+H16</f>
        <v>5500</v>
      </c>
      <c r="J16" s="11">
        <f>IF(J5=DATA!E22,DATA!B22,0)+I16</f>
        <v>5500</v>
      </c>
      <c r="K16" s="11">
        <f>IF(K5=DATA!E22,DATA!B22,0)+J16</f>
        <v>5500</v>
      </c>
      <c r="L16" s="11">
        <f>IF(L5=DATA!E22,DATA!B22,0)+K16</f>
        <v>5500</v>
      </c>
      <c r="M16" s="11">
        <f>IF(M5=DATA!E22,DATA!B22,0)+L16</f>
        <v>5500</v>
      </c>
      <c r="N16" s="11">
        <f>IF(N5=DATA!E22,DATA!B22,0)+M16</f>
        <v>5500</v>
      </c>
    </row>
    <row r="17" spans="1:14" x14ac:dyDescent="0.2">
      <c r="A17" t="s">
        <v>120</v>
      </c>
      <c r="B17" s="11">
        <f>0</f>
        <v>0</v>
      </c>
      <c r="C17" s="11">
        <f>-(IncomeStatement_Year1!B36-B17)</f>
        <v>-208.33333333333331</v>
      </c>
      <c r="D17" s="11">
        <f>-(IncomeStatement_Year1!C36-C17)</f>
        <v>-416.66666666666663</v>
      </c>
      <c r="E17" s="11">
        <f>-(IncomeStatement_Year1!D36-D17)</f>
        <v>-625</v>
      </c>
      <c r="F17" s="11">
        <f>-(IncomeStatement_Year1!E36-E17)</f>
        <v>-833.33333333333326</v>
      </c>
      <c r="G17" s="11">
        <f>-(IncomeStatement_Year1!F36-F17)</f>
        <v>-1041.6666666666665</v>
      </c>
      <c r="H17" s="11">
        <f>-(IncomeStatement_Year1!G36-G17)</f>
        <v>-1249.9999999999998</v>
      </c>
      <c r="I17" s="11">
        <f>-(IncomeStatement_Year1!H36-H17)</f>
        <v>-1458.333333333333</v>
      </c>
      <c r="J17" s="11">
        <f>-(IncomeStatement_Year1!I36-I17)</f>
        <v>-1666.6666666666663</v>
      </c>
      <c r="K17" s="11">
        <f>-(IncomeStatement_Year1!J36-J17)</f>
        <v>-1874.9999999999995</v>
      </c>
      <c r="L17" s="11">
        <f>-(IncomeStatement_Year1!K36-K17)</f>
        <v>-2083.333333333333</v>
      </c>
      <c r="M17" s="11">
        <f>-(IncomeStatement_Year1!L36-L17)</f>
        <v>-2291.6666666666665</v>
      </c>
      <c r="N17" s="11">
        <f>-(IncomeStatement_Year1!M36-M17)</f>
        <v>-2500</v>
      </c>
    </row>
    <row r="18" spans="1:14" x14ac:dyDescent="0.2">
      <c r="A18" s="4" t="s">
        <v>121</v>
      </c>
      <c r="B18" s="13">
        <f t="shared" ref="B18:N18" si="1">SUM(B15:B17)</f>
        <v>17500</v>
      </c>
      <c r="C18" s="13">
        <f t="shared" si="1"/>
        <v>17291.666666666668</v>
      </c>
      <c r="D18" s="13">
        <f t="shared" si="1"/>
        <v>17083.333333333332</v>
      </c>
      <c r="E18" s="13">
        <f t="shared" si="1"/>
        <v>16875</v>
      </c>
      <c r="F18" s="13">
        <f t="shared" si="1"/>
        <v>16666.666666666668</v>
      </c>
      <c r="G18" s="13">
        <f t="shared" si="1"/>
        <v>16458.333333333332</v>
      </c>
      <c r="H18" s="13">
        <f t="shared" si="1"/>
        <v>16250</v>
      </c>
      <c r="I18" s="13">
        <f t="shared" si="1"/>
        <v>16041.666666666668</v>
      </c>
      <c r="J18" s="13">
        <f t="shared" si="1"/>
        <v>15833.333333333334</v>
      </c>
      <c r="K18" s="13">
        <f t="shared" si="1"/>
        <v>15625</v>
      </c>
      <c r="L18" s="13">
        <f t="shared" si="1"/>
        <v>15416.666666666668</v>
      </c>
      <c r="M18" s="13">
        <f t="shared" si="1"/>
        <v>15208.333333333334</v>
      </c>
      <c r="N18" s="13">
        <f t="shared" si="1"/>
        <v>15000</v>
      </c>
    </row>
    <row r="19" spans="1:14" x14ac:dyDescent="0.2">
      <c r="B19" s="12"/>
    </row>
    <row r="20" spans="1:14" x14ac:dyDescent="0.2">
      <c r="A20" s="4" t="s">
        <v>122</v>
      </c>
      <c r="B20" s="14">
        <f t="shared" ref="B20:N20" si="2">B12+B18</f>
        <v>17500</v>
      </c>
      <c r="C20" s="8">
        <f t="shared" si="2"/>
        <v>23316.103923688053</v>
      </c>
      <c r="D20" s="8">
        <f t="shared" si="2"/>
        <v>24246.226534876103</v>
      </c>
      <c r="E20" s="8">
        <f t="shared" si="2"/>
        <v>26762.697609182906</v>
      </c>
      <c r="F20" s="8">
        <f t="shared" si="2"/>
        <v>29366.946275717142</v>
      </c>
      <c r="G20" s="8">
        <f t="shared" si="2"/>
        <v>32060.415065332589</v>
      </c>
      <c r="H20" s="8">
        <f t="shared" si="2"/>
        <v>34844.559413815681</v>
      </c>
      <c r="I20" s="8">
        <f t="shared" si="2"/>
        <v>37720.847116777775</v>
      </c>
      <c r="J20" s="8">
        <f t="shared" si="2"/>
        <v>40690.757733365936</v>
      </c>
      <c r="K20" s="8">
        <f t="shared" si="2"/>
        <v>43755.781935752173</v>
      </c>
      <c r="L20" s="8">
        <f t="shared" si="2"/>
        <v>46917.42080119958</v>
      </c>
      <c r="M20" s="8">
        <f t="shared" si="2"/>
        <v>50177.185043333637</v>
      </c>
      <c r="N20" s="8">
        <f t="shared" si="2"/>
        <v>53536.594179068612</v>
      </c>
    </row>
    <row r="21" spans="1:14" x14ac:dyDescent="0.2">
      <c r="B21" s="12"/>
    </row>
    <row r="22" spans="1:14" x14ac:dyDescent="0.2">
      <c r="A22" s="4" t="s">
        <v>123</v>
      </c>
      <c r="B22" s="12"/>
    </row>
    <row r="23" spans="1:14" x14ac:dyDescent="0.2">
      <c r="A23" t="s">
        <v>124</v>
      </c>
      <c r="B23" s="12"/>
    </row>
    <row r="24" spans="1:14" x14ac:dyDescent="0.2">
      <c r="A24" t="s">
        <v>125</v>
      </c>
      <c r="B24" s="11">
        <f>0</f>
        <v>0</v>
      </c>
      <c r="C24" s="11">
        <f>(IncomeStatement_Year1!B12+SUM(IncomeStatement_Year1!B18:B32)+IncomeStatement_Year1!B35)/2</f>
        <v>6563.125</v>
      </c>
      <c r="D24" s="11">
        <f>(IncomeStatement_Year1!C12+SUM(IncomeStatement_Year1!C18:C32)+IncomeStatement_Year1!C35)/2</f>
        <v>5157.3313124999995</v>
      </c>
      <c r="E24" s="11">
        <f>(IncomeStatement_Year1!D12+SUM(IncomeStatement_Year1!D18:D32)+IncomeStatement_Year1!D35)/2</f>
        <v>5253.580671881251</v>
      </c>
      <c r="F24" s="11">
        <f>(IncomeStatement_Year1!E12+SUM(IncomeStatement_Year1!E18:E32)+IncomeStatement_Year1!E35)/2</f>
        <v>5351.9216183860626</v>
      </c>
      <c r="G24" s="11">
        <f>(IncomeStatement_Year1!F12+SUM(IncomeStatement_Year1!F18:F32)+IncomeStatement_Year1!F35)/2</f>
        <v>5452.4040416656244</v>
      </c>
      <c r="H24" s="11">
        <f>(IncomeStatement_Year1!G12+SUM(IncomeStatement_Year1!G18:G32)+IncomeStatement_Year1!G35)/2</f>
        <v>5555.079226590603</v>
      </c>
      <c r="I24" s="11">
        <f>(IncomeStatement_Year1!H12+SUM(IncomeStatement_Year1!H18:H32)+IncomeStatement_Year1!H35)/2</f>
        <v>5659.9999009169478</v>
      </c>
      <c r="J24" s="11">
        <f>(IncomeStatement_Year1!I12+SUM(IncomeStatement_Year1!I18:I32)+IncomeStatement_Year1!I35)/2</f>
        <v>5767.2202848908482</v>
      </c>
      <c r="K24" s="11">
        <f>(IncomeStatement_Year1!J12+SUM(IncomeStatement_Year1!J18:J32)+IncomeStatement_Year1!J35)/2</f>
        <v>5876.7961428808967</v>
      </c>
      <c r="L24" s="11">
        <f>(IncomeStatement_Year1!K12+SUM(IncomeStatement_Year1!K18:K32)+IncomeStatement_Year1!K35)/2</f>
        <v>5988.7848371297314</v>
      </c>
      <c r="M24" s="11">
        <f>(IncomeStatement_Year1!L12+SUM(IncomeStatement_Year1!L18:L32)+IncomeStatement_Year1!L35)/2</f>
        <v>6103.2453837218154</v>
      </c>
      <c r="N24" s="11">
        <f>(IncomeStatement_Year1!M12+SUM(IncomeStatement_Year1!M18:M32)+IncomeStatement_Year1!M35)/2</f>
        <v>6220.2385108686885</v>
      </c>
    </row>
    <row r="25" spans="1:14" x14ac:dyDescent="0.2">
      <c r="A25" s="4" t="s">
        <v>126</v>
      </c>
      <c r="B25" s="13">
        <f t="shared" ref="B25:N25" si="3">B24</f>
        <v>0</v>
      </c>
      <c r="C25" s="13">
        <f t="shared" si="3"/>
        <v>6563.125</v>
      </c>
      <c r="D25" s="13">
        <f t="shared" si="3"/>
        <v>5157.3313124999995</v>
      </c>
      <c r="E25" s="13">
        <f t="shared" si="3"/>
        <v>5253.580671881251</v>
      </c>
      <c r="F25" s="13">
        <f t="shared" si="3"/>
        <v>5351.9216183860626</v>
      </c>
      <c r="G25" s="13">
        <f t="shared" si="3"/>
        <v>5452.4040416656244</v>
      </c>
      <c r="H25" s="13">
        <f t="shared" si="3"/>
        <v>5555.079226590603</v>
      </c>
      <c r="I25" s="13">
        <f t="shared" si="3"/>
        <v>5659.9999009169478</v>
      </c>
      <c r="J25" s="13">
        <f t="shared" si="3"/>
        <v>5767.2202848908482</v>
      </c>
      <c r="K25" s="13">
        <f t="shared" si="3"/>
        <v>5876.7961428808967</v>
      </c>
      <c r="L25" s="13">
        <f t="shared" si="3"/>
        <v>5988.7848371297314</v>
      </c>
      <c r="M25" s="13">
        <f t="shared" si="3"/>
        <v>6103.2453837218154</v>
      </c>
      <c r="N25" s="13">
        <f t="shared" si="3"/>
        <v>6220.2385108686885</v>
      </c>
    </row>
    <row r="26" spans="1:14" x14ac:dyDescent="0.2">
      <c r="B26" s="12"/>
    </row>
    <row r="27" spans="1:14" x14ac:dyDescent="0.2">
      <c r="A27" t="s">
        <v>127</v>
      </c>
      <c r="B27" s="12"/>
    </row>
    <row r="28" spans="1:14" x14ac:dyDescent="0.2">
      <c r="A28" t="str">
        <f>LoanModule!C1</f>
        <v>Bank Loan</v>
      </c>
      <c r="B28" s="11">
        <f>LoanModule!F9</f>
        <v>45000</v>
      </c>
      <c r="C28" s="11">
        <f>LoanModule!F10</f>
        <v>44387.562257021382</v>
      </c>
      <c r="D28" s="11">
        <f>LoanModule!F11</f>
        <v>43771.041595756244</v>
      </c>
      <c r="E28" s="11">
        <f>LoanModule!F12</f>
        <v>43150.410796749333</v>
      </c>
      <c r="F28" s="11">
        <f>LoanModule!F13</f>
        <v>42525.642459082381</v>
      </c>
      <c r="G28" s="11">
        <f>LoanModule!F14</f>
        <v>41896.708999164315</v>
      </c>
      <c r="H28" s="11">
        <f>LoanModule!F15</f>
        <v>41263.582649513461</v>
      </c>
      <c r="I28" s="11">
        <f>LoanModule!F16</f>
        <v>40626.235457531599</v>
      </c>
      <c r="J28" s="11">
        <f>LoanModule!F17</f>
        <v>39984.639284269862</v>
      </c>
      <c r="K28" s="11">
        <f>LoanModule!F18</f>
        <v>39338.765803186376</v>
      </c>
      <c r="L28" s="11">
        <f>LoanModule!F19</f>
        <v>38688.586498895667</v>
      </c>
      <c r="M28" s="11">
        <f>LoanModule!F20</f>
        <v>38034.072665909691</v>
      </c>
      <c r="N28" s="11">
        <f>LoanModule!F21</f>
        <v>37375.195407370476</v>
      </c>
    </row>
    <row r="29" spans="1:14" x14ac:dyDescent="0.2">
      <c r="A29" s="4" t="s">
        <v>128</v>
      </c>
      <c r="B29" s="13">
        <f t="shared" ref="B29:N29" si="4">SUM(B28:B28)</f>
        <v>45000</v>
      </c>
      <c r="C29" s="13">
        <f t="shared" si="4"/>
        <v>44387.562257021382</v>
      </c>
      <c r="D29" s="13">
        <f t="shared" si="4"/>
        <v>43771.041595756244</v>
      </c>
      <c r="E29" s="13">
        <f t="shared" si="4"/>
        <v>43150.410796749333</v>
      </c>
      <c r="F29" s="13">
        <f t="shared" si="4"/>
        <v>42525.642459082381</v>
      </c>
      <c r="G29" s="13">
        <f t="shared" si="4"/>
        <v>41896.708999164315</v>
      </c>
      <c r="H29" s="13">
        <f t="shared" si="4"/>
        <v>41263.582649513461</v>
      </c>
      <c r="I29" s="13">
        <f t="shared" si="4"/>
        <v>40626.235457531599</v>
      </c>
      <c r="J29" s="13">
        <f t="shared" si="4"/>
        <v>39984.639284269862</v>
      </c>
      <c r="K29" s="13">
        <f t="shared" si="4"/>
        <v>39338.765803186376</v>
      </c>
      <c r="L29" s="13">
        <f t="shared" si="4"/>
        <v>38688.586498895667</v>
      </c>
      <c r="M29" s="13">
        <f t="shared" si="4"/>
        <v>38034.072665909691</v>
      </c>
      <c r="N29" s="13">
        <f t="shared" si="4"/>
        <v>37375.195407370476</v>
      </c>
    </row>
    <row r="30" spans="1:14" x14ac:dyDescent="0.2">
      <c r="B30" s="12"/>
    </row>
    <row r="31" spans="1:14" x14ac:dyDescent="0.2">
      <c r="A31" s="4" t="s">
        <v>129</v>
      </c>
      <c r="B31" s="14">
        <f t="shared" ref="B31:N31" si="5">B25+B29</f>
        <v>45000</v>
      </c>
      <c r="C31" s="8">
        <f t="shared" si="5"/>
        <v>50950.687257021382</v>
      </c>
      <c r="D31" s="8">
        <f t="shared" si="5"/>
        <v>48928.372908256242</v>
      </c>
      <c r="E31" s="8">
        <f t="shared" si="5"/>
        <v>48403.991468630586</v>
      </c>
      <c r="F31" s="8">
        <f t="shared" si="5"/>
        <v>47877.564077468443</v>
      </c>
      <c r="G31" s="8">
        <f t="shared" si="5"/>
        <v>47349.113040829936</v>
      </c>
      <c r="H31" s="8">
        <f t="shared" si="5"/>
        <v>46818.661876104066</v>
      </c>
      <c r="I31" s="8">
        <f t="shared" si="5"/>
        <v>46286.235358448546</v>
      </c>
      <c r="J31" s="8">
        <f t="shared" si="5"/>
        <v>45751.859569160712</v>
      </c>
      <c r="K31" s="8">
        <f t="shared" si="5"/>
        <v>45215.561946067275</v>
      </c>
      <c r="L31" s="8">
        <f t="shared" si="5"/>
        <v>44677.371336025397</v>
      </c>
      <c r="M31" s="8">
        <f t="shared" si="5"/>
        <v>44137.318049631504</v>
      </c>
      <c r="N31" s="8">
        <f t="shared" si="5"/>
        <v>43595.433918239163</v>
      </c>
    </row>
    <row r="32" spans="1:14" x14ac:dyDescent="0.2">
      <c r="B32" s="12"/>
    </row>
    <row r="33" spans="1:14" x14ac:dyDescent="0.2">
      <c r="A33" t="s">
        <v>130</v>
      </c>
      <c r="B33" s="12"/>
    </row>
    <row r="34" spans="1:14" x14ac:dyDescent="0.2">
      <c r="A34" t="s">
        <v>131</v>
      </c>
      <c r="B34" s="11">
        <f>StartupCosts!B11</f>
        <v>5500</v>
      </c>
      <c r="C34" s="5">
        <f t="shared" ref="C34:N34" si="6">B34</f>
        <v>5500</v>
      </c>
      <c r="D34" s="11">
        <f t="shared" si="6"/>
        <v>5500</v>
      </c>
      <c r="E34" s="11">
        <f t="shared" si="6"/>
        <v>5500</v>
      </c>
      <c r="F34" s="11">
        <f t="shared" si="6"/>
        <v>5500</v>
      </c>
      <c r="G34" s="11">
        <f t="shared" si="6"/>
        <v>5500</v>
      </c>
      <c r="H34" s="11">
        <f t="shared" si="6"/>
        <v>5500</v>
      </c>
      <c r="I34" s="11">
        <f t="shared" si="6"/>
        <v>5500</v>
      </c>
      <c r="J34" s="11">
        <f t="shared" si="6"/>
        <v>5500</v>
      </c>
      <c r="K34" s="11">
        <f t="shared" si="6"/>
        <v>5500</v>
      </c>
      <c r="L34" s="11">
        <f t="shared" si="6"/>
        <v>5500</v>
      </c>
      <c r="M34" s="11">
        <f t="shared" si="6"/>
        <v>5500</v>
      </c>
      <c r="N34" s="11">
        <f t="shared" si="6"/>
        <v>5500</v>
      </c>
    </row>
    <row r="35" spans="1:14" x14ac:dyDescent="0.2">
      <c r="A35" t="s">
        <v>132</v>
      </c>
      <c r="B35" s="11">
        <f>StartupCosts!B12</f>
        <v>8000</v>
      </c>
      <c r="C35" s="11">
        <f t="shared" ref="C35:N35" si="7">0+B35</f>
        <v>8000</v>
      </c>
      <c r="D35" s="11">
        <f t="shared" si="7"/>
        <v>8000</v>
      </c>
      <c r="E35" s="11">
        <f t="shared" si="7"/>
        <v>8000</v>
      </c>
      <c r="F35" s="11">
        <f t="shared" si="7"/>
        <v>8000</v>
      </c>
      <c r="G35" s="11">
        <f t="shared" si="7"/>
        <v>8000</v>
      </c>
      <c r="H35" s="11">
        <f t="shared" si="7"/>
        <v>8000</v>
      </c>
      <c r="I35" s="11">
        <f t="shared" si="7"/>
        <v>8000</v>
      </c>
      <c r="J35" s="11">
        <f t="shared" si="7"/>
        <v>8000</v>
      </c>
      <c r="K35" s="11">
        <f t="shared" si="7"/>
        <v>8000</v>
      </c>
      <c r="L35" s="11">
        <f t="shared" si="7"/>
        <v>8000</v>
      </c>
      <c r="M35" s="11">
        <f t="shared" si="7"/>
        <v>8000</v>
      </c>
      <c r="N35" s="11">
        <f t="shared" si="7"/>
        <v>8000</v>
      </c>
    </row>
    <row r="36" spans="1:14" x14ac:dyDescent="0.2">
      <c r="A36" t="s">
        <v>18</v>
      </c>
      <c r="B36" s="11">
        <v>0</v>
      </c>
      <c r="C36" s="11">
        <f>B36+DATA!B41</f>
        <v>0</v>
      </c>
      <c r="D36" s="11">
        <f>C36+DATA!C41</f>
        <v>0</v>
      </c>
      <c r="E36" s="11">
        <f>D36+DATA!D41</f>
        <v>0</v>
      </c>
      <c r="F36" s="11">
        <f>E36+DATA!E41</f>
        <v>0</v>
      </c>
      <c r="G36" s="11">
        <f>F36+DATA!F41</f>
        <v>0</v>
      </c>
      <c r="H36" s="11">
        <f>G36+DATA!G41</f>
        <v>0</v>
      </c>
      <c r="I36" s="11">
        <f>H36+DATA!H41</f>
        <v>0</v>
      </c>
      <c r="J36" s="11">
        <f>I36+DATA!I41</f>
        <v>0</v>
      </c>
      <c r="K36" s="11">
        <f>J36+DATA!J41</f>
        <v>0</v>
      </c>
      <c r="L36" s="11">
        <f>K36+DATA!K41</f>
        <v>0</v>
      </c>
      <c r="M36" s="11">
        <f>L36+DATA!L41</f>
        <v>0</v>
      </c>
      <c r="N36" s="11">
        <f>M36+DATA!M41</f>
        <v>0</v>
      </c>
    </row>
    <row r="37" spans="1:14" x14ac:dyDescent="0.2">
      <c r="A37" t="s">
        <v>133</v>
      </c>
      <c r="B37" s="11">
        <f>B20-B31-B35-B34</f>
        <v>-41000</v>
      </c>
      <c r="C37" s="11">
        <f>(B37+IncomeStatement_Year1!B43)-C36</f>
        <v>-41134.583333333336</v>
      </c>
      <c r="D37" s="11">
        <f>(C37+IncomeStatement_Year1!C43)-D36</f>
        <v>-38182.146373380143</v>
      </c>
      <c r="E37" s="11">
        <f>(D37+IncomeStatement_Year1!D43)-E36</f>
        <v>-35141.293859447687</v>
      </c>
      <c r="F37" s="11">
        <f>(E37+IncomeStatement_Year1!E43)-F36</f>
        <v>-32010.617801751308</v>
      </c>
      <c r="G37" s="11">
        <f>(F37+IncomeStatement_Year1!F43)-G36</f>
        <v>-28788.697975497354</v>
      </c>
      <c r="H37" s="11">
        <f>(G37+IncomeStatement_Year1!G43)-H36</f>
        <v>-25474.102462288392</v>
      </c>
      <c r="I37" s="11">
        <f>(H37+IncomeStatement_Year1!H43)-I36</f>
        <v>-22065.388241670786</v>
      </c>
      <c r="J37" s="11">
        <f>(I37+IncomeStatement_Year1!I43)-J36</f>
        <v>-18561.101835794791</v>
      </c>
      <c r="K37" s="11">
        <f>(J37+IncomeStatement_Year1!J43)-K36</f>
        <v>-14959.780010315118</v>
      </c>
      <c r="L37" s="11">
        <f>(K37+IncomeStatement_Year1!K43)-L36</f>
        <v>-11259.950534825846</v>
      </c>
      <c r="M37" s="11">
        <f>(L37+IncomeStatement_Year1!L43)-M36</f>
        <v>-7460.133006297895</v>
      </c>
      <c r="N37" s="11">
        <f>(M37+IncomeStatement_Year1!M43)-N36</f>
        <v>-3558.839739170568</v>
      </c>
    </row>
    <row r="38" spans="1:14" x14ac:dyDescent="0.2">
      <c r="A38" s="4" t="s">
        <v>134</v>
      </c>
      <c r="B38" s="14">
        <f>SUM(B34:B37)-B36</f>
        <v>-27500</v>
      </c>
      <c r="C38" s="8">
        <f>SUM(C34:C37)-C36</f>
        <v>-27634.583333333336</v>
      </c>
      <c r="D38" s="8">
        <f>SUM(D34:D37)-D36+SUM(BalanceSheet_Year1!C36:C36)</f>
        <v>-24682.146373380143</v>
      </c>
      <c r="E38" s="8">
        <f>SUM(E34:E37)-E36+SUM(BalanceSheet_Year1!C36:D36)</f>
        <v>-21641.293859447687</v>
      </c>
      <c r="F38" s="8">
        <f>SUM(F34:F37)-F36+SUM(BalanceSheet_Year1!C36:E36)</f>
        <v>-18510.617801751308</v>
      </c>
      <c r="G38" s="8">
        <f>SUM(G34:G37)-G36+SUM(BalanceSheet_Year1!C36:F36)</f>
        <v>-15288.697975497354</v>
      </c>
      <c r="H38" s="8">
        <f>SUM(H34:H37)-H36+SUM(BalanceSheet_Year1!C36:G36)</f>
        <v>-11974.102462288392</v>
      </c>
      <c r="I38" s="8">
        <f>SUM(I34:I37)-I36+SUM(BalanceSheet_Year1!C36:H36)</f>
        <v>-8565.3882416707856</v>
      </c>
      <c r="J38" s="8">
        <f>SUM(J34:J37)-J36+SUM(BalanceSheet_Year1!C36:I36)</f>
        <v>-5061.1018357947905</v>
      </c>
      <c r="K38" s="8">
        <f>SUM(K34:K37)-K36+SUM(BalanceSheet_Year1!C36:J36)</f>
        <v>-1459.7800103151185</v>
      </c>
      <c r="L38" s="8">
        <f>SUM(L34:L37)-L36+SUM(BalanceSheet_Year1!C36:K36)</f>
        <v>2240.0494651741537</v>
      </c>
      <c r="M38" s="8">
        <f>SUM(M34:M37)-M36+SUM(BalanceSheet_Year1!C36:L36)</f>
        <v>6039.866993702105</v>
      </c>
      <c r="N38" s="8">
        <f>SUM(N34:N37)-N36+SUM(BalanceSheet_Year1!C36:M36)</f>
        <v>9941.1602608294324</v>
      </c>
    </row>
    <row r="39" spans="1:14" x14ac:dyDescent="0.2">
      <c r="B39" s="12"/>
    </row>
    <row r="40" spans="1:14" x14ac:dyDescent="0.2">
      <c r="A40" s="4" t="s">
        <v>135</v>
      </c>
      <c r="B40" s="14">
        <f t="shared" ref="B40:N40" si="8">B38+B31</f>
        <v>17500</v>
      </c>
      <c r="C40" s="8">
        <f t="shared" si="8"/>
        <v>23316.103923688046</v>
      </c>
      <c r="D40" s="8">
        <f t="shared" si="8"/>
        <v>24246.226534876099</v>
      </c>
      <c r="E40" s="8">
        <f t="shared" si="8"/>
        <v>26762.697609182898</v>
      </c>
      <c r="F40" s="8">
        <f t="shared" si="8"/>
        <v>29366.946275717135</v>
      </c>
      <c r="G40" s="8">
        <f t="shared" si="8"/>
        <v>32060.415065332581</v>
      </c>
      <c r="H40" s="8">
        <f t="shared" si="8"/>
        <v>34844.559413815674</v>
      </c>
      <c r="I40" s="8">
        <f t="shared" si="8"/>
        <v>37720.847116777761</v>
      </c>
      <c r="J40" s="8">
        <f t="shared" si="8"/>
        <v>40690.757733365921</v>
      </c>
      <c r="K40" s="8">
        <f t="shared" si="8"/>
        <v>43755.781935752158</v>
      </c>
      <c r="L40" s="8">
        <f t="shared" si="8"/>
        <v>46917.420801199551</v>
      </c>
      <c r="M40" s="8">
        <f t="shared" si="8"/>
        <v>50177.185043333608</v>
      </c>
      <c r="N40" s="8">
        <f t="shared" si="8"/>
        <v>53536.594179068597</v>
      </c>
    </row>
    <row r="45" spans="1:14" x14ac:dyDescent="0.2">
      <c r="A45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5"/>
  <sheetViews>
    <sheetView workbookViewId="0">
      <selection activeCell="M40" sqref="M40"/>
    </sheetView>
  </sheetViews>
  <sheetFormatPr baseColWidth="10" defaultColWidth="8.83203125" defaultRowHeight="15" x14ac:dyDescent="0.2"/>
  <cols>
    <col min="1" max="1" width="34.1640625" bestFit="1" customWidth="1"/>
    <col min="2" max="13" width="11.6640625" bestFit="1" customWidth="1"/>
  </cols>
  <sheetData>
    <row r="1" spans="1:13" x14ac:dyDescent="0.2">
      <c r="A1" t="str">
        <f>DATA!B1</f>
        <v>Example Food Truck</v>
      </c>
    </row>
    <row r="2" spans="1:13" x14ac:dyDescent="0.2">
      <c r="A2" t="s">
        <v>111</v>
      </c>
    </row>
    <row r="3" spans="1:13" x14ac:dyDescent="0.2">
      <c r="A3" t="s">
        <v>95</v>
      </c>
    </row>
    <row r="5" spans="1:13" x14ac:dyDescent="0.2">
      <c r="A5" t="s">
        <v>112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</row>
    <row r="7" spans="1:13" x14ac:dyDescent="0.2">
      <c r="A7" t="s">
        <v>113</v>
      </c>
    </row>
    <row r="8" spans="1:13" x14ac:dyDescent="0.2">
      <c r="A8" t="s">
        <v>114</v>
      </c>
    </row>
    <row r="9" spans="1:13" x14ac:dyDescent="0.2">
      <c r="A9" t="s">
        <v>115</v>
      </c>
      <c r="B9" s="11">
        <f>CashFlowStatement_Year2!B7+CashFlowStatement_Year2!B42</f>
        <v>40919.902629145683</v>
      </c>
      <c r="C9" s="11">
        <f>CashFlowStatement_Year2!C7+CashFlowStatement_Year2!C42</f>
        <v>44665.683384246149</v>
      </c>
      <c r="D9" s="11">
        <f>CashFlowStatement_Year2!D7+CashFlowStatement_Year2!D42</f>
        <v>48515.191629807661</v>
      </c>
      <c r="E9" s="11">
        <f>CashFlowStatement_Year2!E7+CashFlowStatement_Year2!E42</f>
        <v>52469.96190332096</v>
      </c>
      <c r="F9" s="11">
        <f>CashFlowStatement_Year2!F7+CashFlowStatement_Year2!F42</f>
        <v>56531.532067226981</v>
      </c>
      <c r="G9" s="11">
        <f>CashFlowStatement_Year2!G7+CashFlowStatement_Year2!G42</f>
        <v>60701.441999785675</v>
      </c>
      <c r="H9" s="11">
        <f>CashFlowStatement_Year2!H7+CashFlowStatement_Year2!H42</f>
        <v>64981.232190833187</v>
      </c>
      <c r="I9" s="11">
        <f>CashFlowStatement_Year2!I7+CashFlowStatement_Year2!I42</f>
        <v>69372.442237075666</v>
      </c>
      <c r="J9" s="11">
        <f>CashFlowStatement_Year2!J7+CashFlowStatement_Year2!J42</f>
        <v>73876.609231288574</v>
      </c>
      <c r="K9" s="11">
        <f>CashFlowStatement_Year2!K7+CashFlowStatement_Year2!K42</f>
        <v>78495.266039496477</v>
      </c>
      <c r="L9" s="11">
        <f>CashFlowStatement_Year2!L7+CashFlowStatement_Year2!L42</f>
        <v>83229.939459899557</v>
      </c>
      <c r="M9" s="11">
        <f>CashFlowStatement_Year2!M7+CashFlowStatement_Year2!M42</f>
        <v>88082.14825698873</v>
      </c>
    </row>
    <row r="10" spans="1:13" x14ac:dyDescent="0.2">
      <c r="A10" t="s">
        <v>116</v>
      </c>
      <c r="B10" s="11">
        <f>IncomeStatement_Year2!B8-CashFlowStatement_Year2!B10+BalanceSheet_Year1!N10</f>
        <v>0</v>
      </c>
      <c r="C10" s="11">
        <f>IncomeStatement_Year2!C8-CashFlowStatement_Year2!C10+B10</f>
        <v>0</v>
      </c>
      <c r="D10" s="11">
        <f>IncomeStatement_Year2!D8-CashFlowStatement_Year2!D10+C10</f>
        <v>0</v>
      </c>
      <c r="E10" s="11">
        <f>IncomeStatement_Year2!E8-CashFlowStatement_Year2!E10+D10</f>
        <v>0</v>
      </c>
      <c r="F10" s="11">
        <f>IncomeStatement_Year2!F8-CashFlowStatement_Year2!F10+E10</f>
        <v>0</v>
      </c>
      <c r="G10" s="11">
        <f>IncomeStatement_Year2!G8-CashFlowStatement_Year2!G10+F10</f>
        <v>0</v>
      </c>
      <c r="H10" s="11">
        <f>IncomeStatement_Year2!H8-CashFlowStatement_Year2!H10+G10</f>
        <v>0</v>
      </c>
      <c r="I10" s="11">
        <f>IncomeStatement_Year2!I8-CashFlowStatement_Year2!I10+H10</f>
        <v>0</v>
      </c>
      <c r="J10" s="11">
        <f>IncomeStatement_Year2!J8-CashFlowStatement_Year2!J10+I10</f>
        <v>0</v>
      </c>
      <c r="K10" s="11">
        <f>IncomeStatement_Year2!K8-CashFlowStatement_Year2!K10+J10</f>
        <v>0</v>
      </c>
      <c r="L10" s="11">
        <f>IncomeStatement_Year2!L8-CashFlowStatement_Year2!L10+K10</f>
        <v>0</v>
      </c>
      <c r="M10" s="11">
        <f>IncomeStatement_Year2!M8-CashFlowStatement_Year2!M10+L10</f>
        <v>0</v>
      </c>
    </row>
    <row r="11" spans="1:13" x14ac:dyDescent="0.2">
      <c r="A11" t="s">
        <v>117</v>
      </c>
      <c r="B11" s="11">
        <f>IncomeStatement_Year2!B10*DATA!B3</f>
        <v>1285.6063316385639</v>
      </c>
      <c r="C11" s="11">
        <f>IncomeStatement_Year2!C10*DATA!B3</f>
        <v>1311.4470189044989</v>
      </c>
      <c r="D11" s="11">
        <f>IncomeStatement_Year2!D10*DATA!B3</f>
        <v>1337.807103984479</v>
      </c>
      <c r="E11" s="11">
        <f>IncomeStatement_Year2!E10*DATA!B3</f>
        <v>1364.6970267745673</v>
      </c>
      <c r="F11" s="11">
        <f>IncomeStatement_Year2!F10*DATA!B3</f>
        <v>1392.127437012736</v>
      </c>
      <c r="G11" s="11">
        <f>IncomeStatement_Year2!G10*DATA!B3</f>
        <v>1420.109198496692</v>
      </c>
      <c r="H11" s="11">
        <f>IncomeStatement_Year2!H10*DATA!B3</f>
        <v>1448.6533933864757</v>
      </c>
      <c r="I11" s="11">
        <f>IncomeStatement_Year2!I10*DATA!B3</f>
        <v>1477.7713265935438</v>
      </c>
      <c r="J11" s="11">
        <f>IncomeStatement_Year2!J10*DATA!B3</f>
        <v>1507.4745302580743</v>
      </c>
      <c r="K11" s="11">
        <f>IncomeStatement_Year2!K10*DATA!B3</f>
        <v>1537.7747683162615</v>
      </c>
      <c r="L11" s="11">
        <f>IncomeStatement_Year2!L10*DATA!B3</f>
        <v>1568.6840411594187</v>
      </c>
      <c r="M11" s="11">
        <f>IncomeStatement_Year2!M10*DATA!B3</f>
        <v>1600.2145903867231</v>
      </c>
    </row>
    <row r="12" spans="1:13" x14ac:dyDescent="0.2">
      <c r="A12" s="4" t="s">
        <v>118</v>
      </c>
      <c r="B12" s="13">
        <f t="shared" ref="B12:M12" si="0">SUM(B9:B11)</f>
        <v>42205.508960784246</v>
      </c>
      <c r="C12" s="13">
        <f t="shared" si="0"/>
        <v>45977.130403150652</v>
      </c>
      <c r="D12" s="13">
        <f t="shared" si="0"/>
        <v>49852.998733792141</v>
      </c>
      <c r="E12" s="13">
        <f t="shared" si="0"/>
        <v>53834.658930095524</v>
      </c>
      <c r="F12" s="13">
        <f t="shared" si="0"/>
        <v>57923.659504239717</v>
      </c>
      <c r="G12" s="13">
        <f t="shared" si="0"/>
        <v>62121.551198282366</v>
      </c>
      <c r="H12" s="13">
        <f t="shared" si="0"/>
        <v>66429.885584219664</v>
      </c>
      <c r="I12" s="13">
        <f t="shared" si="0"/>
        <v>70850.213563669211</v>
      </c>
      <c r="J12" s="13">
        <f t="shared" si="0"/>
        <v>75384.083761546644</v>
      </c>
      <c r="K12" s="13">
        <f t="shared" si="0"/>
        <v>80033.040807812737</v>
      </c>
      <c r="L12" s="13">
        <f t="shared" si="0"/>
        <v>84798.623501058973</v>
      </c>
      <c r="M12" s="13">
        <f t="shared" si="0"/>
        <v>89682.362847375451</v>
      </c>
    </row>
    <row r="14" spans="1:13" x14ac:dyDescent="0.2">
      <c r="A14" t="s">
        <v>119</v>
      </c>
    </row>
    <row r="15" spans="1:13" x14ac:dyDescent="0.2">
      <c r="A15" t="s">
        <v>10</v>
      </c>
      <c r="B15" s="11">
        <f>IF(B5=DATA!E19,DATA!B19,0)+BalanceSheet_Year1!N15</f>
        <v>12000</v>
      </c>
      <c r="C15" s="11">
        <f>IF(C5=DATA!E19,DATA!B19,0)+B15</f>
        <v>12000</v>
      </c>
      <c r="D15" s="11">
        <f>IF(D5=DATA!E19,DATA!B19,0)+C15</f>
        <v>12000</v>
      </c>
      <c r="E15" s="11">
        <f>IF(E5=DATA!E19,DATA!B19,0)+D15</f>
        <v>12000</v>
      </c>
      <c r="F15" s="11">
        <f>IF(F5=DATA!E19,DATA!B19,0)+E15</f>
        <v>12000</v>
      </c>
      <c r="G15" s="11">
        <f>IF(G5=DATA!E19,DATA!B19,0)+F15</f>
        <v>12000</v>
      </c>
      <c r="H15" s="11">
        <f>IF(H5=DATA!E19,DATA!B19,0)+G15</f>
        <v>12000</v>
      </c>
      <c r="I15" s="11">
        <f>IF(I5=DATA!E19,DATA!B19,0)+H15</f>
        <v>12000</v>
      </c>
      <c r="J15" s="11">
        <f>IF(J5=DATA!E19,DATA!B19,0)+I15</f>
        <v>12000</v>
      </c>
      <c r="K15" s="11">
        <f>IF(K5=DATA!E19,DATA!B19,0)+J15</f>
        <v>12000</v>
      </c>
      <c r="L15" s="11">
        <f>IF(L5=DATA!E19,DATA!B19,0)+K15</f>
        <v>12000</v>
      </c>
      <c r="M15" s="11">
        <f>IF(M5=DATA!E19,DATA!B19,0)+L15</f>
        <v>12000</v>
      </c>
    </row>
    <row r="16" spans="1:13" x14ac:dyDescent="0.2">
      <c r="A16" t="s">
        <v>15</v>
      </c>
      <c r="B16" s="11">
        <f>IF(B5=DATA!E22,DATA!B22,0)+BalanceSheet_Year1!N16</f>
        <v>5500</v>
      </c>
      <c r="C16" s="11">
        <f>IF(C5=DATA!E22,DATA!B22,0)+B16</f>
        <v>5500</v>
      </c>
      <c r="D16" s="11">
        <f>IF(D5=DATA!E22,DATA!B22,0)+C16</f>
        <v>5500</v>
      </c>
      <c r="E16" s="11">
        <f>IF(E5=DATA!E22,DATA!B22,0)+D16</f>
        <v>5500</v>
      </c>
      <c r="F16" s="11">
        <f>IF(F5=DATA!E22,DATA!B22,0)+E16</f>
        <v>5500</v>
      </c>
      <c r="G16" s="11">
        <f>IF(G5=DATA!E22,DATA!B22,0)+F16</f>
        <v>5500</v>
      </c>
      <c r="H16" s="11">
        <f>IF(H5=DATA!E22,DATA!B22,0)+G16</f>
        <v>5500</v>
      </c>
      <c r="I16" s="11">
        <f>IF(I5=DATA!E22,DATA!B22,0)+H16</f>
        <v>5500</v>
      </c>
      <c r="J16" s="11">
        <f>IF(J5=DATA!E22,DATA!B22,0)+I16</f>
        <v>5500</v>
      </c>
      <c r="K16" s="11">
        <f>IF(K5=DATA!E22,DATA!B22,0)+J16</f>
        <v>5500</v>
      </c>
      <c r="L16" s="11">
        <f>IF(L5=DATA!E22,DATA!B22,0)+K16</f>
        <v>5500</v>
      </c>
      <c r="M16" s="11">
        <f>IF(M5=DATA!E22,DATA!B22,0)+L16</f>
        <v>5500</v>
      </c>
    </row>
    <row r="17" spans="1:13" x14ac:dyDescent="0.2">
      <c r="A17" t="s">
        <v>120</v>
      </c>
      <c r="B17" s="11">
        <f>-(IncomeStatement_Year2!B36-BalanceSheet_Year1!N17)</f>
        <v>-2708.3333333333335</v>
      </c>
      <c r="C17" s="11">
        <f>-(IncomeStatement_Year2!C36-B17)</f>
        <v>-2916.666666666667</v>
      </c>
      <c r="D17" s="11">
        <f>-(IncomeStatement_Year2!D36-C17)</f>
        <v>-3125.0000000000005</v>
      </c>
      <c r="E17" s="11">
        <f>-(IncomeStatement_Year2!E36-D17)</f>
        <v>-3333.3333333333339</v>
      </c>
      <c r="F17" s="11">
        <f>-(IncomeStatement_Year2!F36-E17)</f>
        <v>-3541.6666666666674</v>
      </c>
      <c r="G17" s="11">
        <f>-(IncomeStatement_Year2!G36-F17)</f>
        <v>-3750.0000000000009</v>
      </c>
      <c r="H17" s="11">
        <f>-(IncomeStatement_Year2!H36-G17)</f>
        <v>-3958.3333333333344</v>
      </c>
      <c r="I17" s="11">
        <f>-(IncomeStatement_Year2!I36-H17)</f>
        <v>-4166.6666666666679</v>
      </c>
      <c r="J17" s="11">
        <f>-(IncomeStatement_Year2!J36-I17)</f>
        <v>-4375.0000000000009</v>
      </c>
      <c r="K17" s="11">
        <f>-(IncomeStatement_Year2!K36-J17)</f>
        <v>-4583.3333333333339</v>
      </c>
      <c r="L17" s="11">
        <f>-(IncomeStatement_Year2!L36-K17)</f>
        <v>-4791.666666666667</v>
      </c>
      <c r="M17" s="11">
        <f>-(IncomeStatement_Year2!M36-L17)</f>
        <v>-5000</v>
      </c>
    </row>
    <row r="18" spans="1:13" x14ac:dyDescent="0.2">
      <c r="A18" s="4" t="s">
        <v>121</v>
      </c>
      <c r="B18" s="13">
        <f t="shared" ref="B18:M18" si="1">SUM(B15:B17)</f>
        <v>14791.666666666666</v>
      </c>
      <c r="C18" s="13">
        <f t="shared" si="1"/>
        <v>14583.333333333332</v>
      </c>
      <c r="D18" s="13">
        <f t="shared" si="1"/>
        <v>14375</v>
      </c>
      <c r="E18" s="13">
        <f t="shared" si="1"/>
        <v>14166.666666666666</v>
      </c>
      <c r="F18" s="13">
        <f t="shared" si="1"/>
        <v>13958.333333333332</v>
      </c>
      <c r="G18" s="13">
        <f t="shared" si="1"/>
        <v>13750</v>
      </c>
      <c r="H18" s="13">
        <f t="shared" si="1"/>
        <v>13541.666666666666</v>
      </c>
      <c r="I18" s="13">
        <f t="shared" si="1"/>
        <v>13333.333333333332</v>
      </c>
      <c r="J18" s="13">
        <f t="shared" si="1"/>
        <v>13125</v>
      </c>
      <c r="K18" s="13">
        <f t="shared" si="1"/>
        <v>12916.666666666666</v>
      </c>
      <c r="L18" s="13">
        <f t="shared" si="1"/>
        <v>12708.333333333332</v>
      </c>
      <c r="M18" s="13">
        <f t="shared" si="1"/>
        <v>12500</v>
      </c>
    </row>
    <row r="20" spans="1:13" x14ac:dyDescent="0.2">
      <c r="A20" s="4" t="s">
        <v>122</v>
      </c>
      <c r="B20" s="8">
        <f t="shared" ref="B20:M20" si="2">B12+B18</f>
        <v>56997.17562745091</v>
      </c>
      <c r="C20" s="8">
        <f t="shared" si="2"/>
        <v>60560.463736483987</v>
      </c>
      <c r="D20" s="8">
        <f t="shared" si="2"/>
        <v>64227.998733792141</v>
      </c>
      <c r="E20" s="8">
        <f t="shared" si="2"/>
        <v>68001.325596762195</v>
      </c>
      <c r="F20" s="8">
        <f t="shared" si="2"/>
        <v>71881.992837573052</v>
      </c>
      <c r="G20" s="8">
        <f t="shared" si="2"/>
        <v>75871.551198282366</v>
      </c>
      <c r="H20" s="8">
        <f t="shared" si="2"/>
        <v>79971.552250886336</v>
      </c>
      <c r="I20" s="8">
        <f t="shared" si="2"/>
        <v>84183.546897002539</v>
      </c>
      <c r="J20" s="8">
        <f t="shared" si="2"/>
        <v>88509.083761546644</v>
      </c>
      <c r="K20" s="8">
        <f t="shared" si="2"/>
        <v>92949.707474479408</v>
      </c>
      <c r="L20" s="8">
        <f t="shared" si="2"/>
        <v>97506.956834392302</v>
      </c>
      <c r="M20" s="8">
        <f t="shared" si="2"/>
        <v>102182.36284737545</v>
      </c>
    </row>
    <row r="22" spans="1:13" x14ac:dyDescent="0.2">
      <c r="A22" s="4" t="s">
        <v>123</v>
      </c>
    </row>
    <row r="23" spans="1:13" x14ac:dyDescent="0.2">
      <c r="A23" t="s">
        <v>124</v>
      </c>
    </row>
    <row r="24" spans="1:13" x14ac:dyDescent="0.2">
      <c r="A24" t="s">
        <v>125</v>
      </c>
      <c r="B24" s="11">
        <f>(IncomeStatement_Year2!B12+SUM(IncomeStatement_Year2!B18:B32)+IncomeStatement_Year2!B35)/2</f>
        <v>6339.8267196179186</v>
      </c>
      <c r="C24" s="11">
        <f>(IncomeStatement_Year2!C12+SUM(IncomeStatement_Year2!C18:C32)+IncomeStatement_Year2!C35)/2</f>
        <v>6462.0743470970447</v>
      </c>
      <c r="D24" s="11">
        <f>(IncomeStatement_Year2!D12+SUM(IncomeStatement_Year2!D18:D32)+IncomeStatement_Year2!D35)/2</f>
        <v>6587.0476324092397</v>
      </c>
      <c r="E24" s="11">
        <f>(IncomeStatement_Year2!E12+SUM(IncomeStatement_Year2!E18:E32)+IncomeStatement_Year2!E35)/2</f>
        <v>6714.8147853029895</v>
      </c>
      <c r="F24" s="11">
        <f>(IncomeStatement_Year2!F12+SUM(IncomeStatement_Year2!F18:F32)+IncomeStatement_Year2!F35)/2</f>
        <v>6845.4460577440204</v>
      </c>
      <c r="G24" s="11">
        <f>(IncomeStatement_Year2!G12+SUM(IncomeStatement_Year2!G18:G32)+IncomeStatement_Year2!G35)/2</f>
        <v>6979.0138185239375</v>
      </c>
      <c r="H24" s="11">
        <f>(IncomeStatement_Year2!H12+SUM(IncomeStatement_Year2!H18:H32)+IncomeStatement_Year2!H35)/2</f>
        <v>7115.5926310464938</v>
      </c>
      <c r="I24" s="11">
        <f>(IncomeStatement_Year2!I12+SUM(IncomeStatement_Year2!I18:I32)+IncomeStatement_Year2!I35)/2</f>
        <v>7255.2593344392644</v>
      </c>
      <c r="J24" s="11">
        <f>(IncomeStatement_Year2!J12+SUM(IncomeStatement_Year2!J18:J32)+IncomeStatement_Year2!J35)/2</f>
        <v>7398.0931281456678</v>
      </c>
      <c r="K24" s="11">
        <f>(IncomeStatement_Year2!K12+SUM(IncomeStatement_Year2!K18:K32)+IncomeStatement_Year2!K35)/2</f>
        <v>7544.175660159779</v>
      </c>
      <c r="L24" s="11">
        <f>(IncomeStatement_Year2!L12+SUM(IncomeStatement_Year2!L18:L32)+IncomeStatement_Year2!L35)/2</f>
        <v>7693.5911190742909</v>
      </c>
      <c r="M24" s="11">
        <f>(IncomeStatement_Year2!M12+SUM(IncomeStatement_Year2!M18:M32)+IncomeStatement_Year2!M35)/2</f>
        <v>7846.4263301202509</v>
      </c>
    </row>
    <row r="25" spans="1:13" x14ac:dyDescent="0.2">
      <c r="A25" s="4" t="s">
        <v>126</v>
      </c>
      <c r="B25" s="13">
        <f t="shared" ref="B25:M25" si="3">B24</f>
        <v>6339.8267196179186</v>
      </c>
      <c r="C25" s="13">
        <f t="shared" si="3"/>
        <v>6462.0743470970447</v>
      </c>
      <c r="D25" s="13">
        <f t="shared" si="3"/>
        <v>6587.0476324092397</v>
      </c>
      <c r="E25" s="13">
        <f t="shared" si="3"/>
        <v>6714.8147853029895</v>
      </c>
      <c r="F25" s="13">
        <f t="shared" si="3"/>
        <v>6845.4460577440204</v>
      </c>
      <c r="G25" s="13">
        <f t="shared" si="3"/>
        <v>6979.0138185239375</v>
      </c>
      <c r="H25" s="13">
        <f t="shared" si="3"/>
        <v>7115.5926310464938</v>
      </c>
      <c r="I25" s="13">
        <f t="shared" si="3"/>
        <v>7255.2593344392644</v>
      </c>
      <c r="J25" s="13">
        <f t="shared" si="3"/>
        <v>7398.0931281456678</v>
      </c>
      <c r="K25" s="13">
        <f t="shared" si="3"/>
        <v>7544.175660159779</v>
      </c>
      <c r="L25" s="13">
        <f t="shared" si="3"/>
        <v>7693.5911190742909</v>
      </c>
      <c r="M25" s="13">
        <f t="shared" si="3"/>
        <v>7846.4263301202509</v>
      </c>
    </row>
    <row r="27" spans="1:13" x14ac:dyDescent="0.2">
      <c r="A27" t="s">
        <v>127</v>
      </c>
    </row>
    <row r="28" spans="1:13" x14ac:dyDescent="0.2">
      <c r="A28" t="str">
        <f>LoanModule!C1</f>
        <v>Bank Loan</v>
      </c>
      <c r="B28" s="11">
        <f>LoanModule!F22</f>
        <v>36711.925633774328</v>
      </c>
      <c r="C28" s="11">
        <f>LoanModule!F23</f>
        <v>36044.234061687544</v>
      </c>
      <c r="D28" s="11">
        <f>LoanModule!F24</f>
        <v>35372.09121245351</v>
      </c>
      <c r="E28" s="11">
        <f>LoanModule!F25</f>
        <v>34695.467410891251</v>
      </c>
      <c r="F28" s="11">
        <f>LoanModule!F26</f>
        <v>34014.332783985243</v>
      </c>
      <c r="G28" s="11">
        <f>LoanModule!F27</f>
        <v>33328.657259566528</v>
      </c>
      <c r="H28" s="11">
        <f>LoanModule!F28</f>
        <v>32638.410564985021</v>
      </c>
      <c r="I28" s="11">
        <f>LoanModule!F29</f>
        <v>31943.56222577297</v>
      </c>
      <c r="J28" s="11">
        <f>LoanModule!F30</f>
        <v>31244.081564299508</v>
      </c>
      <c r="K28" s="11">
        <f>LoanModule!F31</f>
        <v>30539.937698416223</v>
      </c>
      <c r="L28" s="11">
        <f>LoanModule!F32</f>
        <v>29831.099540093714</v>
      </c>
      <c r="M28" s="11">
        <f>LoanModule!F33</f>
        <v>29117.535794049058</v>
      </c>
    </row>
    <row r="29" spans="1:13" x14ac:dyDescent="0.2">
      <c r="A29" s="4" t="s">
        <v>128</v>
      </c>
      <c r="B29" s="13">
        <f t="shared" ref="B29:M29" si="4">SUM(B28:B28)</f>
        <v>36711.925633774328</v>
      </c>
      <c r="C29" s="13">
        <f t="shared" si="4"/>
        <v>36044.234061687544</v>
      </c>
      <c r="D29" s="13">
        <f t="shared" si="4"/>
        <v>35372.09121245351</v>
      </c>
      <c r="E29" s="13">
        <f t="shared" si="4"/>
        <v>34695.467410891251</v>
      </c>
      <c r="F29" s="13">
        <f t="shared" si="4"/>
        <v>34014.332783985243</v>
      </c>
      <c r="G29" s="13">
        <f t="shared" si="4"/>
        <v>33328.657259566528</v>
      </c>
      <c r="H29" s="13">
        <f t="shared" si="4"/>
        <v>32638.410564985021</v>
      </c>
      <c r="I29" s="13">
        <f t="shared" si="4"/>
        <v>31943.56222577297</v>
      </c>
      <c r="J29" s="13">
        <f t="shared" si="4"/>
        <v>31244.081564299508</v>
      </c>
      <c r="K29" s="13">
        <f t="shared" si="4"/>
        <v>30539.937698416223</v>
      </c>
      <c r="L29" s="13">
        <f t="shared" si="4"/>
        <v>29831.099540093714</v>
      </c>
      <c r="M29" s="13">
        <f t="shared" si="4"/>
        <v>29117.535794049058</v>
      </c>
    </row>
    <row r="31" spans="1:13" x14ac:dyDescent="0.2">
      <c r="A31" s="4" t="s">
        <v>129</v>
      </c>
      <c r="B31" s="8">
        <f t="shared" ref="B31:M31" si="5">B25+B29</f>
        <v>43051.75235339225</v>
      </c>
      <c r="C31" s="8">
        <f t="shared" si="5"/>
        <v>42506.308408784593</v>
      </c>
      <c r="D31" s="8">
        <f t="shared" si="5"/>
        <v>41959.138844862748</v>
      </c>
      <c r="E31" s="8">
        <f t="shared" si="5"/>
        <v>41410.282196194239</v>
      </c>
      <c r="F31" s="8">
        <f t="shared" si="5"/>
        <v>40859.778841729261</v>
      </c>
      <c r="G31" s="8">
        <f t="shared" si="5"/>
        <v>40307.671078090469</v>
      </c>
      <c r="H31" s="8">
        <f t="shared" si="5"/>
        <v>39754.003196031517</v>
      </c>
      <c r="I31" s="8">
        <f t="shared" si="5"/>
        <v>39198.821560212236</v>
      </c>
      <c r="J31" s="8">
        <f t="shared" si="5"/>
        <v>38642.174692445173</v>
      </c>
      <c r="K31" s="8">
        <f t="shared" si="5"/>
        <v>38084.113358576004</v>
      </c>
      <c r="L31" s="8">
        <f t="shared" si="5"/>
        <v>37524.690659168002</v>
      </c>
      <c r="M31" s="8">
        <f t="shared" si="5"/>
        <v>36963.962124169309</v>
      </c>
    </row>
    <row r="33" spans="1:13" x14ac:dyDescent="0.2">
      <c r="A33" t="s">
        <v>130</v>
      </c>
    </row>
    <row r="34" spans="1:13" x14ac:dyDescent="0.2">
      <c r="A34" t="s">
        <v>131</v>
      </c>
      <c r="B34" s="11">
        <f>BalanceSheet_Year1!N34</f>
        <v>5500</v>
      </c>
      <c r="C34" s="11">
        <f t="shared" ref="C34:M34" si="6">B34</f>
        <v>5500</v>
      </c>
      <c r="D34" s="11">
        <f t="shared" si="6"/>
        <v>5500</v>
      </c>
      <c r="E34" s="11">
        <f t="shared" si="6"/>
        <v>5500</v>
      </c>
      <c r="F34" s="11">
        <f t="shared" si="6"/>
        <v>5500</v>
      </c>
      <c r="G34" s="11">
        <f t="shared" si="6"/>
        <v>5500</v>
      </c>
      <c r="H34" s="11">
        <f t="shared" si="6"/>
        <v>5500</v>
      </c>
      <c r="I34" s="11">
        <f t="shared" si="6"/>
        <v>5500</v>
      </c>
      <c r="J34" s="11">
        <f t="shared" si="6"/>
        <v>5500</v>
      </c>
      <c r="K34" s="11">
        <f t="shared" si="6"/>
        <v>5500</v>
      </c>
      <c r="L34" s="11">
        <f t="shared" si="6"/>
        <v>5500</v>
      </c>
      <c r="M34" s="11">
        <f t="shared" si="6"/>
        <v>5500</v>
      </c>
    </row>
    <row r="35" spans="1:13" x14ac:dyDescent="0.2">
      <c r="A35" t="s">
        <v>132</v>
      </c>
      <c r="B35" s="11">
        <f>0+BalanceSheet_Year1!N35</f>
        <v>8000</v>
      </c>
      <c r="C35" s="11">
        <f t="shared" ref="C35:M35" si="7">0+B35</f>
        <v>8000</v>
      </c>
      <c r="D35" s="11">
        <f t="shared" si="7"/>
        <v>8000</v>
      </c>
      <c r="E35" s="11">
        <f t="shared" si="7"/>
        <v>8000</v>
      </c>
      <c r="F35" s="11">
        <f t="shared" si="7"/>
        <v>8000</v>
      </c>
      <c r="G35" s="11">
        <f t="shared" si="7"/>
        <v>8000</v>
      </c>
      <c r="H35" s="11">
        <f t="shared" si="7"/>
        <v>8000</v>
      </c>
      <c r="I35" s="11">
        <f t="shared" si="7"/>
        <v>8000</v>
      </c>
      <c r="J35" s="11">
        <f t="shared" si="7"/>
        <v>8000</v>
      </c>
      <c r="K35" s="11">
        <f t="shared" si="7"/>
        <v>8000</v>
      </c>
      <c r="L35" s="11">
        <f t="shared" si="7"/>
        <v>8000</v>
      </c>
      <c r="M35" s="11">
        <f t="shared" si="7"/>
        <v>8000</v>
      </c>
    </row>
    <row r="36" spans="1:13" x14ac:dyDescent="0.2">
      <c r="A36" t="s">
        <v>18</v>
      </c>
      <c r="B36" s="11">
        <f>BalanceSheet_Year1!N36+DATA!N41</f>
        <v>0</v>
      </c>
      <c r="C36" s="11">
        <f>B36+DATA!O41</f>
        <v>0</v>
      </c>
      <c r="D36" s="11">
        <f>C36+DATA!P41</f>
        <v>0</v>
      </c>
      <c r="E36" s="11">
        <f>D36+DATA!Q41</f>
        <v>0</v>
      </c>
      <c r="F36" s="11">
        <f>E36+DATA!R41</f>
        <v>0</v>
      </c>
      <c r="G36" s="11">
        <f>F36+DATA!S41</f>
        <v>0</v>
      </c>
      <c r="H36" s="11">
        <f>G36+DATA!T41</f>
        <v>0</v>
      </c>
      <c r="I36" s="11">
        <f>H36+DATA!U41</f>
        <v>0</v>
      </c>
      <c r="J36" s="11">
        <f>I36+DATA!V41</f>
        <v>0</v>
      </c>
      <c r="K36" s="11">
        <f>J36+DATA!W41</f>
        <v>0</v>
      </c>
      <c r="L36" s="11">
        <f>K36+DATA!X41</f>
        <v>0</v>
      </c>
      <c r="M36" s="11">
        <f>L36+DATA!Y41</f>
        <v>0</v>
      </c>
    </row>
    <row r="37" spans="1:13" x14ac:dyDescent="0.2">
      <c r="A37" t="s">
        <v>133</v>
      </c>
      <c r="B37" s="11">
        <f>(BalanceSheet_Year1!N37+IncomeStatement_Year2!B43)-B36</f>
        <v>445.42327405864535</v>
      </c>
      <c r="C37" s="11">
        <f>(B37+IncomeStatement_Year2!C43)-C36</f>
        <v>4554.1553276993782</v>
      </c>
      <c r="D37" s="11">
        <f>(C37+IncomeStatement_Year2!D43)-D36</f>
        <v>8768.8598889293717</v>
      </c>
      <c r="E37" s="11">
        <f>(D37+IncomeStatement_Year2!E43)-E36</f>
        <v>13091.043400567931</v>
      </c>
      <c r="F37" s="11">
        <f>(E37+IncomeStatement_Year2!F43)-F36</f>
        <v>17522.213995843762</v>
      </c>
      <c r="G37" s="11">
        <f>(F37+IncomeStatement_Year2!G43)-G36</f>
        <v>22063.88012019188</v>
      </c>
      <c r="H37" s="11">
        <f>(G37+IncomeStatement_Year2!H43)-H36</f>
        <v>26717.54905485479</v>
      </c>
      <c r="I37" s="11">
        <f>(H37+IncomeStatement_Year2!I43)-I36</f>
        <v>31484.725336790281</v>
      </c>
      <c r="J37" s="11">
        <f>(I37+IncomeStatement_Year2!J43)-J36</f>
        <v>36366.90906910145</v>
      </c>
      <c r="K37" s="11">
        <f>(J37+IncomeStatement_Year2!K43)-K36</f>
        <v>41365.594115903383</v>
      </c>
      <c r="L37" s="11">
        <f>(K37+IncomeStatement_Year2!L43)-L36</f>
        <v>46482.266175224278</v>
      </c>
      <c r="M37" s="11">
        <f>(L37+IncomeStatement_Year2!M43)-M36</f>
        <v>51718.400723206127</v>
      </c>
    </row>
    <row r="38" spans="1:13" x14ac:dyDescent="0.2">
      <c r="A38" s="4" t="s">
        <v>134</v>
      </c>
      <c r="B38" s="8">
        <f>SUM(B34:B37)-B36+SUM(BalanceSheet_Year1!C36:N36)</f>
        <v>13945.423274058645</v>
      </c>
      <c r="C38" s="8">
        <f>SUM(C34:C37)-C36+SUM(BalanceSheet_Year1!C36:N36)+SUM(BalanceSheet_Year2!B36:B36)</f>
        <v>18054.15532769938</v>
      </c>
      <c r="D38" s="8">
        <f>SUM(D34:D37)-D36+SUM(BalanceSheet_Year1!C36:N36)+SUM(BalanceSheet_Year2!B36:C36)</f>
        <v>22268.859888929372</v>
      </c>
      <c r="E38" s="8">
        <f>SUM(E34:E37)-E36+SUM(BalanceSheet_Year1!C36:N36)+SUM(BalanceSheet_Year2!B36:D36)</f>
        <v>26591.043400567931</v>
      </c>
      <c r="F38" s="8">
        <f>SUM(F34:F37)-F36+SUM(BalanceSheet_Year1!C36:N36)+SUM(BalanceSheet_Year2!B36:E36)</f>
        <v>31022.213995843762</v>
      </c>
      <c r="G38" s="8">
        <f>SUM(G34:G37)-G36+SUM(BalanceSheet_Year1!C36:N36)+SUM(BalanceSheet_Year2!B36:F36)</f>
        <v>35563.880120191883</v>
      </c>
      <c r="H38" s="8">
        <f>SUM(H34:H37)-H36+SUM(BalanceSheet_Year1!C36:N36)+SUM(BalanceSheet_Year2!B36:G36)</f>
        <v>40217.54905485479</v>
      </c>
      <c r="I38" s="8">
        <f>SUM(I34:I37)-I36+SUM(BalanceSheet_Year1!C36:N36)+SUM(BalanceSheet_Year2!B36:H36)</f>
        <v>44984.725336790281</v>
      </c>
      <c r="J38" s="8">
        <f>SUM(J34:J37)-J36+SUM(BalanceSheet_Year1!C36:N36)+SUM(BalanceSheet_Year2!B36:I36)</f>
        <v>49866.90906910145</v>
      </c>
      <c r="K38" s="8">
        <f>SUM(K34:K37)-K36+SUM(BalanceSheet_Year1!C36:N36)+SUM(BalanceSheet_Year2!B36:J36)</f>
        <v>54865.594115903383</v>
      </c>
      <c r="L38" s="8">
        <f>SUM(L34:L37)-L36+SUM(BalanceSheet_Year1!C36:N36)+SUM(BalanceSheet_Year2!B36:K36)</f>
        <v>59982.266175224278</v>
      </c>
      <c r="M38" s="8">
        <f>SUM(M34:M37)-M36+SUM(BalanceSheet_Year1!C36:N36)+SUM(BalanceSheet_Year2!B36:L36)</f>
        <v>65218.400723206127</v>
      </c>
    </row>
    <row r="40" spans="1:13" x14ac:dyDescent="0.2">
      <c r="A40" s="4" t="s">
        <v>135</v>
      </c>
      <c r="B40" s="8">
        <f t="shared" ref="B40:M40" si="8">B38+B31</f>
        <v>56997.175627450895</v>
      </c>
      <c r="C40" s="8">
        <f t="shared" si="8"/>
        <v>60560.463736483973</v>
      </c>
      <c r="D40" s="8">
        <f t="shared" si="8"/>
        <v>64227.998733792119</v>
      </c>
      <c r="E40" s="8">
        <f t="shared" si="8"/>
        <v>68001.325596762166</v>
      </c>
      <c r="F40" s="8">
        <f t="shared" si="8"/>
        <v>71881.992837573023</v>
      </c>
      <c r="G40" s="8">
        <f t="shared" si="8"/>
        <v>75871.551198282352</v>
      </c>
      <c r="H40" s="8">
        <f t="shared" si="8"/>
        <v>79971.552250886307</v>
      </c>
      <c r="I40" s="8">
        <f t="shared" si="8"/>
        <v>84183.546897002525</v>
      </c>
      <c r="J40" s="8">
        <f t="shared" si="8"/>
        <v>88509.083761546615</v>
      </c>
      <c r="K40" s="8">
        <f t="shared" si="8"/>
        <v>92949.707474479394</v>
      </c>
      <c r="L40" s="8">
        <f t="shared" si="8"/>
        <v>97506.956834392273</v>
      </c>
      <c r="M40" s="8">
        <f t="shared" si="8"/>
        <v>102182.36284737544</v>
      </c>
    </row>
    <row r="45" spans="1:13" x14ac:dyDescent="0.2">
      <c r="A45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5"/>
  <sheetViews>
    <sheetView topLeftCell="A18" workbookViewId="0">
      <selection activeCell="M18" sqref="M18"/>
    </sheetView>
  </sheetViews>
  <sheetFormatPr baseColWidth="10" defaultColWidth="8.83203125" defaultRowHeight="15" x14ac:dyDescent="0.2"/>
  <cols>
    <col min="1" max="1" width="34.1640625" bestFit="1" customWidth="1"/>
    <col min="2" max="12" width="11.6640625" bestFit="1" customWidth="1"/>
    <col min="13" max="13" width="10.5" bestFit="1" customWidth="1"/>
  </cols>
  <sheetData>
    <row r="1" spans="1:13" x14ac:dyDescent="0.2">
      <c r="A1" t="str">
        <f>DATA!B1</f>
        <v>Example Food Truck</v>
      </c>
    </row>
    <row r="2" spans="1:13" x14ac:dyDescent="0.2">
      <c r="A2" t="s">
        <v>111</v>
      </c>
    </row>
    <row r="3" spans="1:13" x14ac:dyDescent="0.2">
      <c r="A3" t="s">
        <v>96</v>
      </c>
    </row>
    <row r="5" spans="1:13" x14ac:dyDescent="0.2">
      <c r="A5" t="s">
        <v>112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</row>
    <row r="7" spans="1:13" x14ac:dyDescent="0.2">
      <c r="A7" t="s">
        <v>113</v>
      </c>
    </row>
    <row r="8" spans="1:13" x14ac:dyDescent="0.2">
      <c r="A8" t="s">
        <v>114</v>
      </c>
    </row>
    <row r="9" spans="1:13" x14ac:dyDescent="0.2">
      <c r="A9" t="s">
        <v>115</v>
      </c>
      <c r="B9" s="11">
        <f>CashFlowStatement_Year3!B7+CashFlowStatement_Year3!B42</f>
        <v>93053.401063950514</v>
      </c>
      <c r="C9" s="11">
        <f>CashFlowStatement_Year3!C7+CashFlowStatement_Year3!C42</f>
        <v>98145.194146104201</v>
      </c>
      <c r="D9" s="11">
        <f>CashFlowStatement_Year3!D7+CashFlowStatement_Year3!D42</f>
        <v>103359.00901773805</v>
      </c>
      <c r="E9" s="11">
        <f>CashFlowStatement_Year3!E7+CashFlowStatement_Year3!E42</f>
        <v>108696.30990431536</v>
      </c>
      <c r="F9" s="11">
        <f>CashFlowStatement_Year3!F7+CashFlowStatement_Year3!F42</f>
        <v>114158.541041606</v>
      </c>
      <c r="G9" s="11">
        <f>CashFlowStatement_Year3!G7+CashFlowStatement_Year3!G42</f>
        <v>119747.12380286226</v>
      </c>
      <c r="H9" s="11">
        <f>CashFlowStatement_Year3!H7+CashFlowStatement_Year3!H42</f>
        <v>125463.45364469945</v>
      </c>
      <c r="I9" s="11">
        <f>CashFlowStatement_Year3!I7+CashFlowStatement_Year3!I42</f>
        <v>131308.89686185954</v>
      </c>
      <c r="J9" s="11">
        <f>CashFlowStatement_Year3!J7+CashFlowStatement_Year3!J42</f>
        <v>137284.78714052995</v>
      </c>
      <c r="K9" s="11">
        <f>CashFlowStatement_Year3!K7+CashFlowStatement_Year3!K42</f>
        <v>143392.42189935758</v>
      </c>
      <c r="L9" s="11">
        <f>CashFlowStatement_Year3!L7+CashFlowStatement_Year3!L42</f>
        <v>149633.05840673973</v>
      </c>
      <c r="M9" s="11">
        <f>CashFlowStatement_Year3!M7+CashFlowStatement_Year3!M42</f>
        <v>156007.90966238573</v>
      </c>
    </row>
    <row r="10" spans="1:13" x14ac:dyDescent="0.2">
      <c r="A10" t="s">
        <v>116</v>
      </c>
      <c r="B10" s="11">
        <f>IncomeStatement_Year3!B8-CashFlowStatement_Year3!B10+BalanceSheet_Year2!M10</f>
        <v>0</v>
      </c>
      <c r="C10" s="11">
        <f>IncomeStatement_Year3!C8-CashFlowStatement_Year3!C10+B10</f>
        <v>0</v>
      </c>
      <c r="D10" s="11">
        <f>IncomeStatement_Year3!D8-CashFlowStatement_Year3!D10+C10</f>
        <v>0</v>
      </c>
      <c r="E10" s="11">
        <f>IncomeStatement_Year3!E8-CashFlowStatement_Year3!E10+D10</f>
        <v>0</v>
      </c>
      <c r="F10" s="11">
        <f>IncomeStatement_Year3!F8-CashFlowStatement_Year3!F10+E10</f>
        <v>0</v>
      </c>
      <c r="G10" s="11">
        <f>IncomeStatement_Year3!G8-CashFlowStatement_Year3!G10+F10</f>
        <v>0</v>
      </c>
      <c r="H10" s="11">
        <f>IncomeStatement_Year3!H8-CashFlowStatement_Year3!H10+G10</f>
        <v>0</v>
      </c>
      <c r="I10" s="11">
        <f>IncomeStatement_Year3!I8-CashFlowStatement_Year3!I10+H10</f>
        <v>0</v>
      </c>
      <c r="J10" s="11">
        <f>IncomeStatement_Year3!J8-CashFlowStatement_Year3!J10+I10</f>
        <v>0</v>
      </c>
      <c r="K10" s="11">
        <f>IncomeStatement_Year3!K8-CashFlowStatement_Year3!K10+J10</f>
        <v>0</v>
      </c>
      <c r="L10" s="11">
        <f>IncomeStatement_Year3!L8-CashFlowStatement_Year3!L10+K10</f>
        <v>0</v>
      </c>
      <c r="M10" s="11">
        <f>IncomeStatement_Year3!M8-CashFlowStatement_Year3!M10+L10</f>
        <v>0</v>
      </c>
    </row>
    <row r="11" spans="1:13" x14ac:dyDescent="0.2">
      <c r="A11" t="s">
        <v>117</v>
      </c>
      <c r="B11" s="11">
        <f>IncomeStatement_Year3!B10*DATA!B3</f>
        <v>1632.3789036534961</v>
      </c>
      <c r="C11" s="11">
        <f>IncomeStatement_Year3!C10*DATA!B3</f>
        <v>1665.1897196169316</v>
      </c>
      <c r="D11" s="11">
        <f>IncomeStatement_Year3!D10*DATA!B3</f>
        <v>1698.6600329812313</v>
      </c>
      <c r="E11" s="11">
        <f>IncomeStatement_Year3!E10*DATA!B3</f>
        <v>1732.8030996441541</v>
      </c>
      <c r="F11" s="11">
        <f>IncomeStatement_Year3!F10*DATA!B3</f>
        <v>1767.632441947002</v>
      </c>
      <c r="G11" s="11">
        <f>IncomeStatement_Year3!G10*DATA!B3</f>
        <v>1803.1618540301367</v>
      </c>
      <c r="H11" s="11">
        <f>IncomeStatement_Year3!H10*DATA!B3</f>
        <v>1839.4054072961426</v>
      </c>
      <c r="I11" s="11">
        <f>IncomeStatement_Year3!I10*DATA!B3</f>
        <v>1876.3774559827955</v>
      </c>
      <c r="J11" s="11">
        <f>IncomeStatement_Year3!J10*DATA!B3</f>
        <v>1914.0926428480498</v>
      </c>
      <c r="K11" s="11">
        <f>IncomeStatement_Year3!K10*DATA!B3</f>
        <v>1952.5659049692956</v>
      </c>
      <c r="L11" s="11">
        <f>IncomeStatement_Year3!L10*DATA!B3</f>
        <v>1991.8124796591785</v>
      </c>
      <c r="M11" s="11">
        <f>IncomeStatement_Year3!M10*DATA!B3</f>
        <v>2031.8479105003282</v>
      </c>
    </row>
    <row r="12" spans="1:13" x14ac:dyDescent="0.2">
      <c r="A12" s="4" t="s">
        <v>118</v>
      </c>
      <c r="B12" s="13">
        <f t="shared" ref="B12:M12" si="0">SUM(B9:B11)</f>
        <v>94685.779967604016</v>
      </c>
      <c r="C12" s="13">
        <f t="shared" si="0"/>
        <v>99810.383865721131</v>
      </c>
      <c r="D12" s="13">
        <f t="shared" si="0"/>
        <v>105057.66905071928</v>
      </c>
      <c r="E12" s="13">
        <f t="shared" si="0"/>
        <v>110429.11300395952</v>
      </c>
      <c r="F12" s="13">
        <f t="shared" si="0"/>
        <v>115926.17348355301</v>
      </c>
      <c r="G12" s="13">
        <f t="shared" si="0"/>
        <v>121550.2856568924</v>
      </c>
      <c r="H12" s="13">
        <f t="shared" si="0"/>
        <v>127302.85905199559</v>
      </c>
      <c r="I12" s="13">
        <f t="shared" si="0"/>
        <v>133185.27431784233</v>
      </c>
      <c r="J12" s="13">
        <f t="shared" si="0"/>
        <v>139198.87978337801</v>
      </c>
      <c r="K12" s="13">
        <f t="shared" si="0"/>
        <v>145344.98780432687</v>
      </c>
      <c r="L12" s="13">
        <f t="shared" si="0"/>
        <v>151624.87088639892</v>
      </c>
      <c r="M12" s="13">
        <f t="shared" si="0"/>
        <v>158039.75757288607</v>
      </c>
    </row>
    <row r="14" spans="1:13" x14ac:dyDescent="0.2">
      <c r="A14" t="s">
        <v>119</v>
      </c>
    </row>
    <row r="15" spans="1:13" x14ac:dyDescent="0.2">
      <c r="A15" t="s">
        <v>10</v>
      </c>
      <c r="B15" s="11">
        <f>IF(B5=DATA!E19,DATA!B19,0)+BalanceSheet_Year2!M15</f>
        <v>12000</v>
      </c>
      <c r="C15" s="11">
        <f>IF(C5=DATA!E19,DATA!B19,0)+B15</f>
        <v>12000</v>
      </c>
      <c r="D15" s="11">
        <f>IF(D5=DATA!E19,DATA!B19,0)+C15</f>
        <v>12000</v>
      </c>
      <c r="E15" s="11">
        <f>IF(E5=DATA!E19,DATA!B19,0)+D15</f>
        <v>12000</v>
      </c>
      <c r="F15" s="11">
        <f>IF(F5=DATA!E19,DATA!B19,0)+E15</f>
        <v>12000</v>
      </c>
      <c r="G15" s="11">
        <f>IF(G5=DATA!E19,DATA!B19,0)+F15</f>
        <v>12000</v>
      </c>
      <c r="H15" s="11">
        <f>IF(H5=DATA!E19,DATA!B19,0)+G15</f>
        <v>12000</v>
      </c>
      <c r="I15" s="11">
        <f>IF(I5=DATA!E19,DATA!B19,0)+H15</f>
        <v>12000</v>
      </c>
      <c r="J15" s="11">
        <f>IF(J5=DATA!E19,DATA!B19,0)+I15</f>
        <v>12000</v>
      </c>
      <c r="K15" s="11">
        <f>IF(K5=DATA!E19,DATA!B19,0)+J15</f>
        <v>12000</v>
      </c>
      <c r="L15" s="11">
        <f>IF(L5=DATA!E19,DATA!B19,0)+K15</f>
        <v>12000</v>
      </c>
      <c r="M15" s="11">
        <f>IF(M5=DATA!E19,DATA!B19,0)+L15</f>
        <v>12000</v>
      </c>
    </row>
    <row r="16" spans="1:13" x14ac:dyDescent="0.2">
      <c r="A16" t="s">
        <v>15</v>
      </c>
      <c r="B16" s="11">
        <f>IF(B5=DATA!E22,DATA!B22,0)+BalanceSheet_Year2!M16</f>
        <v>5500</v>
      </c>
      <c r="C16" s="11">
        <f>IF(C5=DATA!E22,DATA!B22,0)+B16</f>
        <v>5500</v>
      </c>
      <c r="D16" s="11">
        <f>IF(D5=DATA!E22,DATA!B22,0)+C16</f>
        <v>5500</v>
      </c>
      <c r="E16" s="11">
        <f>IF(E5=DATA!E22,DATA!B22,0)+D16</f>
        <v>5500</v>
      </c>
      <c r="F16" s="11">
        <f>IF(F5=DATA!E22,DATA!B22,0)+E16</f>
        <v>5500</v>
      </c>
      <c r="G16" s="11">
        <f>IF(G5=DATA!E22,DATA!B22,0)+F16</f>
        <v>5500</v>
      </c>
      <c r="H16" s="11">
        <f>IF(H5=DATA!E22,DATA!B22,0)+G16</f>
        <v>5500</v>
      </c>
      <c r="I16" s="11">
        <f>IF(I5=DATA!E22,DATA!B22,0)+H16</f>
        <v>5500</v>
      </c>
      <c r="J16" s="11">
        <f>IF(J5=DATA!E22,DATA!B22,0)+I16</f>
        <v>5500</v>
      </c>
      <c r="K16" s="11">
        <f>IF(K5=DATA!E22,DATA!B22,0)+J16</f>
        <v>5500</v>
      </c>
      <c r="L16" s="11">
        <f>IF(L5=DATA!E22,DATA!B22,0)+K16</f>
        <v>5500</v>
      </c>
      <c r="M16" s="11">
        <f>IF(M5=DATA!E22,DATA!B22,0)+L16</f>
        <v>5500</v>
      </c>
    </row>
    <row r="17" spans="1:13" x14ac:dyDescent="0.2">
      <c r="A17" t="s">
        <v>120</v>
      </c>
      <c r="B17" s="11">
        <f>-(IncomeStatement_Year3!B36-BalanceSheet_Year2!M17)</f>
        <v>-5208.333333333333</v>
      </c>
      <c r="C17" s="11">
        <f>-(IncomeStatement_Year3!C36-B17)</f>
        <v>-5416.6666666666661</v>
      </c>
      <c r="D17" s="11">
        <f>-(IncomeStatement_Year3!D36-C17)</f>
        <v>-5624.9999999999991</v>
      </c>
      <c r="E17" s="11">
        <f>-(IncomeStatement_Year3!E36-D17)</f>
        <v>-5833.3333333333321</v>
      </c>
      <c r="F17" s="11">
        <f>-(IncomeStatement_Year3!F36-E17)</f>
        <v>-6041.6666666666652</v>
      </c>
      <c r="G17" s="11">
        <f>-(IncomeStatement_Year3!G36-F17)</f>
        <v>-6249.9999999999982</v>
      </c>
      <c r="H17" s="11">
        <f>-(IncomeStatement_Year3!H36-G17)</f>
        <v>-6458.3333333333312</v>
      </c>
      <c r="I17" s="11">
        <f>-(IncomeStatement_Year3!I36-H17)</f>
        <v>-6666.6666666666642</v>
      </c>
      <c r="J17" s="11">
        <f>-(IncomeStatement_Year3!J36-I17)</f>
        <v>-6874.9999999999973</v>
      </c>
      <c r="K17" s="11">
        <f>-(IncomeStatement_Year3!K36-J17)</f>
        <v>-7083.3333333333303</v>
      </c>
      <c r="L17" s="11">
        <f>-(IncomeStatement_Year3!L36-K17)</f>
        <v>-7291.6666666666633</v>
      </c>
      <c r="M17" s="11">
        <f>-(IncomeStatement_Year3!M36-L17)</f>
        <v>-7499.9999999999964</v>
      </c>
    </row>
    <row r="18" spans="1:13" x14ac:dyDescent="0.2">
      <c r="A18" s="4" t="s">
        <v>121</v>
      </c>
      <c r="B18" s="13">
        <f t="shared" ref="B18:M18" si="1">SUM(B15:B17)</f>
        <v>12291.666666666668</v>
      </c>
      <c r="C18" s="13">
        <f t="shared" si="1"/>
        <v>12083.333333333334</v>
      </c>
      <c r="D18" s="13">
        <f t="shared" si="1"/>
        <v>11875</v>
      </c>
      <c r="E18" s="13">
        <f t="shared" si="1"/>
        <v>11666.666666666668</v>
      </c>
      <c r="F18" s="13">
        <f t="shared" si="1"/>
        <v>11458.333333333336</v>
      </c>
      <c r="G18" s="13">
        <f t="shared" si="1"/>
        <v>11250.000000000002</v>
      </c>
      <c r="H18" s="13">
        <f t="shared" si="1"/>
        <v>11041.666666666668</v>
      </c>
      <c r="I18" s="13">
        <f t="shared" si="1"/>
        <v>10833.333333333336</v>
      </c>
      <c r="J18" s="13">
        <f t="shared" si="1"/>
        <v>10625.000000000004</v>
      </c>
      <c r="K18" s="13">
        <f t="shared" si="1"/>
        <v>10416.66666666667</v>
      </c>
      <c r="L18" s="13">
        <f t="shared" si="1"/>
        <v>10208.333333333336</v>
      </c>
      <c r="M18" s="13">
        <f t="shared" si="1"/>
        <v>10000.000000000004</v>
      </c>
    </row>
    <row r="20" spans="1:13" x14ac:dyDescent="0.2">
      <c r="A20" s="4" t="s">
        <v>122</v>
      </c>
      <c r="B20" s="8">
        <f t="shared" ref="B20:M20" si="2">B12+B18</f>
        <v>106977.44663427069</v>
      </c>
      <c r="C20" s="8">
        <f t="shared" si="2"/>
        <v>111893.71719905446</v>
      </c>
      <c r="D20" s="8">
        <f t="shared" si="2"/>
        <v>116932.66905071928</v>
      </c>
      <c r="E20" s="8">
        <f t="shared" si="2"/>
        <v>122095.77967062619</v>
      </c>
      <c r="F20" s="8">
        <f t="shared" si="2"/>
        <v>127384.50681688634</v>
      </c>
      <c r="G20" s="8">
        <f t="shared" si="2"/>
        <v>132800.2856568924</v>
      </c>
      <c r="H20" s="8">
        <f t="shared" si="2"/>
        <v>138344.52571866225</v>
      </c>
      <c r="I20" s="8">
        <f t="shared" si="2"/>
        <v>144018.60765117567</v>
      </c>
      <c r="J20" s="8">
        <f t="shared" si="2"/>
        <v>149823.87978337801</v>
      </c>
      <c r="K20" s="8">
        <f t="shared" si="2"/>
        <v>155761.65447099353</v>
      </c>
      <c r="L20" s="8">
        <f t="shared" si="2"/>
        <v>161833.20421973226</v>
      </c>
      <c r="M20" s="8">
        <f t="shared" si="2"/>
        <v>168039.75757288607</v>
      </c>
    </row>
    <row r="22" spans="1:13" x14ac:dyDescent="0.2">
      <c r="A22" s="4" t="s">
        <v>123</v>
      </c>
    </row>
    <row r="23" spans="1:13" x14ac:dyDescent="0.2">
      <c r="A23" t="s">
        <v>124</v>
      </c>
    </row>
    <row r="24" spans="1:13" x14ac:dyDescent="0.2">
      <c r="A24" t="s">
        <v>125</v>
      </c>
      <c r="B24" s="11">
        <f>(IncomeStatement_Year3!B12+SUM(IncomeStatement_Year3!B18:B32)+IncomeStatement_Year3!B35)/2</f>
        <v>8002.770855385862</v>
      </c>
      <c r="C24" s="11">
        <f>(IncomeStatement_Year3!C12+SUM(IncomeStatement_Year3!C18:C32)+IncomeStatement_Year3!C35)/2</f>
        <v>8162.7170984108225</v>
      </c>
      <c r="D24" s="11">
        <f>(IncomeStatement_Year3!D12+SUM(IncomeStatement_Year3!D18:D32)+IncomeStatement_Year3!D35)/2</f>
        <v>8326.3604133621666</v>
      </c>
      <c r="E24" s="11">
        <f>(IncomeStatement_Year3!E12+SUM(IncomeStatement_Year3!E18:E32)+IncomeStatement_Year3!E35)/2</f>
        <v>8493.7992190077002</v>
      </c>
      <c r="F24" s="11">
        <f>(IncomeStatement_Year3!F12+SUM(IncomeStatement_Year3!F18:F32)+IncomeStatement_Year3!F35)/2</f>
        <v>8665.1351177135584</v>
      </c>
      <c r="G24" s="11">
        <f>(IncomeStatement_Year3!G12+SUM(IncomeStatement_Year3!G18:G32)+IncomeStatement_Year3!G35)/2</f>
        <v>8840.4730197035933</v>
      </c>
      <c r="H24" s="11">
        <f>(IncomeStatement_Year3!H12+SUM(IncomeStatement_Year3!H18:H32)+IncomeStatement_Year3!H35)/2</f>
        <v>9019.9212728298262</v>
      </c>
      <c r="I24" s="11">
        <f>(IncomeStatement_Year3!I12+SUM(IncomeStatement_Year3!I18:I32)+IncomeStatement_Year3!I35)/2</f>
        <v>9203.5917981154071</v>
      </c>
      <c r="J24" s="11">
        <f>(IncomeStatement_Year3!J12+SUM(IncomeStatement_Year3!J18:J32)+IncomeStatement_Year3!J35)/2</f>
        <v>9391.6002313443132</v>
      </c>
      <c r="K24" s="11">
        <f>(IncomeStatement_Year3!K12+SUM(IncomeStatement_Year3!K18:K32)+IncomeStatement_Year3!K35)/2</f>
        <v>9584.0660709854583</v>
      </c>
      <c r="L24" s="11">
        <f>(IncomeStatement_Year3!L12+SUM(IncomeStatement_Year3!L18:L32)+IncomeStatement_Year3!L35)/2</f>
        <v>9781.1128327529477</v>
      </c>
      <c r="M24" s="11">
        <f>(IncomeStatement_Year3!M12+SUM(IncomeStatement_Year3!M18:M32)+IncomeStatement_Year3!M35)/2</f>
        <v>9982.8682111189992</v>
      </c>
    </row>
    <row r="25" spans="1:13" x14ac:dyDescent="0.2">
      <c r="A25" s="4" t="s">
        <v>126</v>
      </c>
      <c r="B25" s="13">
        <f t="shared" ref="B25:M25" si="3">B24</f>
        <v>8002.770855385862</v>
      </c>
      <c r="C25" s="13">
        <f t="shared" si="3"/>
        <v>8162.7170984108225</v>
      </c>
      <c r="D25" s="13">
        <f t="shared" si="3"/>
        <v>8326.3604133621666</v>
      </c>
      <c r="E25" s="13">
        <f t="shared" si="3"/>
        <v>8493.7992190077002</v>
      </c>
      <c r="F25" s="13">
        <f t="shared" si="3"/>
        <v>8665.1351177135584</v>
      </c>
      <c r="G25" s="13">
        <f t="shared" si="3"/>
        <v>8840.4730197035933</v>
      </c>
      <c r="H25" s="13">
        <f t="shared" si="3"/>
        <v>9019.9212728298262</v>
      </c>
      <c r="I25" s="13">
        <f t="shared" si="3"/>
        <v>9203.5917981154071</v>
      </c>
      <c r="J25" s="13">
        <f t="shared" si="3"/>
        <v>9391.6002313443132</v>
      </c>
      <c r="K25" s="13">
        <f t="shared" si="3"/>
        <v>9584.0660709854583</v>
      </c>
      <c r="L25" s="13">
        <f t="shared" si="3"/>
        <v>9781.1128327529477</v>
      </c>
      <c r="M25" s="13">
        <f t="shared" si="3"/>
        <v>9982.8682111189992</v>
      </c>
    </row>
    <row r="27" spans="1:13" x14ac:dyDescent="0.2">
      <c r="A27" t="s">
        <v>127</v>
      </c>
    </row>
    <row r="28" spans="1:13" x14ac:dyDescent="0.2">
      <c r="A28" t="str">
        <f>LoanModule!C1</f>
        <v>Bank Loan</v>
      </c>
      <c r="B28" s="11">
        <f>LoanModule!F34</f>
        <v>28399.214956364103</v>
      </c>
      <c r="C28" s="11">
        <f>LoanModule!F35</f>
        <v>27676.10531309458</v>
      </c>
      <c r="D28" s="11">
        <f>LoanModule!F36</f>
        <v>26948.174938869928</v>
      </c>
      <c r="E28" s="11">
        <f>LoanModule!F37</f>
        <v>26215.39169548378</v>
      </c>
      <c r="F28" s="11">
        <f>LoanModule!F38</f>
        <v>25477.723230475058</v>
      </c>
      <c r="G28" s="11">
        <f>LoanModule!F39</f>
        <v>24735.13697569961</v>
      </c>
      <c r="H28" s="11">
        <f>LoanModule!F40</f>
        <v>23987.600145892324</v>
      </c>
      <c r="I28" s="11">
        <f>LoanModule!F41</f>
        <v>23235.079737219658</v>
      </c>
      <c r="J28" s="11">
        <f>LoanModule!F42</f>
        <v>22477.542525822508</v>
      </c>
      <c r="K28" s="11">
        <f>LoanModule!F43</f>
        <v>21714.955066349376</v>
      </c>
      <c r="L28" s="11">
        <f>LoanModule!F44</f>
        <v>20947.283690479755</v>
      </c>
      <c r="M28" s="11">
        <f>LoanModule!F45</f>
        <v>20174.494505437669</v>
      </c>
    </row>
    <row r="29" spans="1:13" x14ac:dyDescent="0.2">
      <c r="A29" s="4" t="s">
        <v>128</v>
      </c>
      <c r="B29" s="13">
        <f t="shared" ref="B29:M29" si="4">SUM(B28:B28)</f>
        <v>28399.214956364103</v>
      </c>
      <c r="C29" s="13">
        <f t="shared" si="4"/>
        <v>27676.10531309458</v>
      </c>
      <c r="D29" s="13">
        <f t="shared" si="4"/>
        <v>26948.174938869928</v>
      </c>
      <c r="E29" s="13">
        <f t="shared" si="4"/>
        <v>26215.39169548378</v>
      </c>
      <c r="F29" s="13">
        <f t="shared" si="4"/>
        <v>25477.723230475058</v>
      </c>
      <c r="G29" s="13">
        <f t="shared" si="4"/>
        <v>24735.13697569961</v>
      </c>
      <c r="H29" s="13">
        <f t="shared" si="4"/>
        <v>23987.600145892324</v>
      </c>
      <c r="I29" s="13">
        <f t="shared" si="4"/>
        <v>23235.079737219658</v>
      </c>
      <c r="J29" s="13">
        <f t="shared" si="4"/>
        <v>22477.542525822508</v>
      </c>
      <c r="K29" s="13">
        <f t="shared" si="4"/>
        <v>21714.955066349376</v>
      </c>
      <c r="L29" s="13">
        <f t="shared" si="4"/>
        <v>20947.283690479755</v>
      </c>
      <c r="M29" s="13">
        <f t="shared" si="4"/>
        <v>20174.494505437669</v>
      </c>
    </row>
    <row r="31" spans="1:13" x14ac:dyDescent="0.2">
      <c r="A31" s="4" t="s">
        <v>129</v>
      </c>
      <c r="B31" s="8">
        <f t="shared" ref="B31:M31" si="5">B25+B29</f>
        <v>36401.985811749968</v>
      </c>
      <c r="C31" s="8">
        <f t="shared" si="5"/>
        <v>35838.822411505404</v>
      </c>
      <c r="D31" s="8">
        <f t="shared" si="5"/>
        <v>35274.535352232095</v>
      </c>
      <c r="E31" s="8">
        <f t="shared" si="5"/>
        <v>34709.190914491483</v>
      </c>
      <c r="F31" s="8">
        <f t="shared" si="5"/>
        <v>34142.858348188616</v>
      </c>
      <c r="G31" s="8">
        <f t="shared" si="5"/>
        <v>33575.609995403203</v>
      </c>
      <c r="H31" s="8">
        <f t="shared" si="5"/>
        <v>33007.52141872215</v>
      </c>
      <c r="I31" s="8">
        <f t="shared" si="5"/>
        <v>32438.671535335066</v>
      </c>
      <c r="J31" s="8">
        <f t="shared" si="5"/>
        <v>31869.142757166821</v>
      </c>
      <c r="K31" s="8">
        <f t="shared" si="5"/>
        <v>31299.021137334836</v>
      </c>
      <c r="L31" s="8">
        <f t="shared" si="5"/>
        <v>30728.396523232703</v>
      </c>
      <c r="M31" s="8">
        <f t="shared" si="5"/>
        <v>30157.362716556669</v>
      </c>
    </row>
    <row r="33" spans="1:13" x14ac:dyDescent="0.2">
      <c r="A33" t="s">
        <v>130</v>
      </c>
    </row>
    <row r="34" spans="1:13" x14ac:dyDescent="0.2">
      <c r="A34" t="s">
        <v>131</v>
      </c>
      <c r="B34" s="11">
        <f>BalanceSheet_Year2!M34</f>
        <v>5500</v>
      </c>
      <c r="C34" s="11">
        <f t="shared" ref="C34:M34" si="6">B34</f>
        <v>5500</v>
      </c>
      <c r="D34" s="11">
        <f t="shared" si="6"/>
        <v>5500</v>
      </c>
      <c r="E34" s="11">
        <f t="shared" si="6"/>
        <v>5500</v>
      </c>
      <c r="F34" s="11">
        <f t="shared" si="6"/>
        <v>5500</v>
      </c>
      <c r="G34" s="11">
        <f t="shared" si="6"/>
        <v>5500</v>
      </c>
      <c r="H34" s="11">
        <f t="shared" si="6"/>
        <v>5500</v>
      </c>
      <c r="I34" s="11">
        <f t="shared" si="6"/>
        <v>5500</v>
      </c>
      <c r="J34" s="11">
        <f t="shared" si="6"/>
        <v>5500</v>
      </c>
      <c r="K34" s="11">
        <f t="shared" si="6"/>
        <v>5500</v>
      </c>
      <c r="L34" s="11">
        <f t="shared" si="6"/>
        <v>5500</v>
      </c>
      <c r="M34" s="11">
        <f t="shared" si="6"/>
        <v>5500</v>
      </c>
    </row>
    <row r="35" spans="1:13" x14ac:dyDescent="0.2">
      <c r="A35" t="s">
        <v>132</v>
      </c>
      <c r="B35" s="11">
        <f>0+BalanceSheet_Year2!M35</f>
        <v>8000</v>
      </c>
      <c r="C35" s="11">
        <f t="shared" ref="C35:M35" si="7">0+B35</f>
        <v>8000</v>
      </c>
      <c r="D35" s="11">
        <f t="shared" si="7"/>
        <v>8000</v>
      </c>
      <c r="E35" s="11">
        <f t="shared" si="7"/>
        <v>8000</v>
      </c>
      <c r="F35" s="11">
        <f t="shared" si="7"/>
        <v>8000</v>
      </c>
      <c r="G35" s="11">
        <f t="shared" si="7"/>
        <v>8000</v>
      </c>
      <c r="H35" s="11">
        <f t="shared" si="7"/>
        <v>8000</v>
      </c>
      <c r="I35" s="11">
        <f t="shared" si="7"/>
        <v>8000</v>
      </c>
      <c r="J35" s="11">
        <f t="shared" si="7"/>
        <v>8000</v>
      </c>
      <c r="K35" s="11">
        <f t="shared" si="7"/>
        <v>8000</v>
      </c>
      <c r="L35" s="11">
        <f t="shared" si="7"/>
        <v>8000</v>
      </c>
      <c r="M35" s="11">
        <f t="shared" si="7"/>
        <v>8000</v>
      </c>
    </row>
    <row r="36" spans="1:13" x14ac:dyDescent="0.2">
      <c r="A36" t="s">
        <v>18</v>
      </c>
      <c r="B36" s="11">
        <f>BalanceSheet_Year2!M36+DATA!Z41</f>
        <v>0</v>
      </c>
      <c r="C36" s="11">
        <f>B36+DATA!AA41</f>
        <v>0</v>
      </c>
      <c r="D36" s="11">
        <f>C36+DATA!AB41</f>
        <v>0</v>
      </c>
      <c r="E36" s="11">
        <f>D36+DATA!AC41</f>
        <v>0</v>
      </c>
      <c r="F36" s="11">
        <f>E36+DATA!AD41</f>
        <v>0</v>
      </c>
      <c r="G36" s="11">
        <f>F36+DATA!AE41</f>
        <v>0</v>
      </c>
      <c r="H36" s="11">
        <f>G36+DATA!AF41</f>
        <v>0</v>
      </c>
      <c r="I36" s="11">
        <f>H36+DATA!AG41</f>
        <v>0</v>
      </c>
      <c r="J36" s="11">
        <f>I36+DATA!AH41</f>
        <v>0</v>
      </c>
      <c r="K36" s="11">
        <f>J36+DATA!AI41</f>
        <v>0</v>
      </c>
      <c r="L36" s="11">
        <f>K36+DATA!AJ41</f>
        <v>0</v>
      </c>
      <c r="M36" s="11">
        <f>L36+DATA!AK41</f>
        <v>0</v>
      </c>
    </row>
    <row r="37" spans="1:13" x14ac:dyDescent="0.2">
      <c r="A37" t="s">
        <v>133</v>
      </c>
      <c r="B37" s="11">
        <f>(BalanceSheet_Year2!M37+IncomeStatement_Year3!B43)-B36</f>
        <v>57075.46082252069</v>
      </c>
      <c r="C37" s="11">
        <f>(B37+IncomeStatement_Year3!C43)-C36</f>
        <v>62554.894787549041</v>
      </c>
      <c r="D37" s="11">
        <f>(C37+IncomeStatement_Year3!D43)-D36</f>
        <v>68158.13369848716</v>
      </c>
      <c r="E37" s="11">
        <f>(D37+IncomeStatement_Year3!E43)-E36</f>
        <v>73886.588756134675</v>
      </c>
      <c r="F37" s="11">
        <f>(E37+IncomeStatement_Year3!F43)-F36</f>
        <v>79741.648468697691</v>
      </c>
      <c r="G37" s="11">
        <f>(F37+IncomeStatement_Year3!G43)-G36</f>
        <v>85724.675661489164</v>
      </c>
      <c r="H37" s="11">
        <f>(G37+IncomeStatement_Year3!H43)-H36</f>
        <v>91837.00429994009</v>
      </c>
      <c r="I37" s="11">
        <f>(H37+IncomeStatement_Year3!I43)-I36</f>
        <v>98079.936115840595</v>
      </c>
      <c r="J37" s="11">
        <f>(I37+IncomeStatement_Year3!J43)-J36</f>
        <v>104454.73702621117</v>
      </c>
      <c r="K37" s="11">
        <f>(J37+IncomeStatement_Year3!K43)-K36</f>
        <v>110962.63333365871</v>
      </c>
      <c r="L37" s="11">
        <f>(K37+IncomeStatement_Year3!L43)-L36</f>
        <v>117604.80769649954</v>
      </c>
      <c r="M37" s="11">
        <f>(L37+IncomeStatement_Year3!M43)-M36</f>
        <v>124382.3948563294</v>
      </c>
    </row>
    <row r="38" spans="1:13" x14ac:dyDescent="0.2">
      <c r="A38" s="4" t="s">
        <v>134</v>
      </c>
      <c r="B38" s="8">
        <f>SUM(B34:B37)-B36+SUM(BalanceSheet_Year1!C36:N36)+SUM(BalanceSheet_Year2!B36:M36)</f>
        <v>70575.46082252069</v>
      </c>
      <c r="C38" s="8">
        <f>SUM(C34:C37)-C36+SUM(BalanceSheet_Year1!C36:N36)+SUM(BalanceSheet_Year2!B36:M36)+SUM(BalanceSheet_Year3!B36:B36)</f>
        <v>76054.894787549041</v>
      </c>
      <c r="D38" s="8">
        <f>SUM(D34:D37)-D36+SUM(BalanceSheet_Year1!C36:N36)+SUM(BalanceSheet_Year2!B36:M36)+SUM(BalanceSheet_Year3!B36:C36)</f>
        <v>81658.13369848716</v>
      </c>
      <c r="E38" s="8">
        <f>SUM(E34:E37)-E36+SUM(BalanceSheet_Year1!C36:N36)+SUM(BalanceSheet_Year2!B36:M36)+SUM(BalanceSheet_Year3!B36:D36)</f>
        <v>87386.588756134675</v>
      </c>
      <c r="F38" s="8">
        <f>SUM(F34:F37)-F36+SUM(BalanceSheet_Year1!C36:N36)+SUM(BalanceSheet_Year2!B36:M36)+SUM(BalanceSheet_Year3!B36:E36)</f>
        <v>93241.648468697691</v>
      </c>
      <c r="G38" s="8">
        <f>SUM(G34:G37)-G36+SUM(BalanceSheet_Year1!C36:N36)+SUM(BalanceSheet_Year2!B36:M36)+SUM(BalanceSheet_Year3!B36:F36)</f>
        <v>99224.675661489164</v>
      </c>
      <c r="H38" s="8">
        <f>SUM(H34:H37)-H36+SUM(BalanceSheet_Year1!C36:N36)+SUM(BalanceSheet_Year2!B36:M36)+SUM(BalanceSheet_Year3!B36:G36)</f>
        <v>105337.00429994009</v>
      </c>
      <c r="I38" s="8">
        <f>SUM(I34:I37)-I36+SUM(BalanceSheet_Year1!C36:N36)+SUM(BalanceSheet_Year2!B36:M36)+SUM(BalanceSheet_Year3!B36:H36)</f>
        <v>111579.9361158406</v>
      </c>
      <c r="J38" s="8">
        <f>SUM(J34:J37)-J36+SUM(BalanceSheet_Year1!C36:N36)+SUM(BalanceSheet_Year2!B36:M36)+SUM(BalanceSheet_Year3!B36:I36)</f>
        <v>117954.73702621117</v>
      </c>
      <c r="K38" s="8">
        <f>SUM(K34:K37)-K36+SUM(BalanceSheet_Year1!C36:N36)+SUM(BalanceSheet_Year2!B36:M36)+SUM(BalanceSheet_Year3!B36:J36)</f>
        <v>124462.63333365871</v>
      </c>
      <c r="L38" s="8">
        <f>SUM(L34:L37)-L36+SUM(BalanceSheet_Year1!C36:N36)+SUM(BalanceSheet_Year2!B36:M36)+SUM(BalanceSheet_Year3!B36:K36)</f>
        <v>131104.80769649954</v>
      </c>
      <c r="M38" s="8">
        <f>SUM(M34:M37)-M36+SUM(BalanceSheet_Year1!C36:N36)+SUM(BalanceSheet_Year2!B36:M36)+SUM(BalanceSheet_Year3!B36:L36)</f>
        <v>137882.3948563294</v>
      </c>
    </row>
    <row r="40" spans="1:13" x14ac:dyDescent="0.2">
      <c r="A40" s="4" t="s">
        <v>135</v>
      </c>
      <c r="B40" s="8">
        <f t="shared" ref="B40:M40" si="8">B38+B31</f>
        <v>106977.44663427066</v>
      </c>
      <c r="C40" s="8">
        <f t="shared" si="8"/>
        <v>111893.71719905444</v>
      </c>
      <c r="D40" s="8">
        <f t="shared" si="8"/>
        <v>116932.66905071925</v>
      </c>
      <c r="E40" s="8">
        <f t="shared" si="8"/>
        <v>122095.77967062616</v>
      </c>
      <c r="F40" s="8">
        <f t="shared" si="8"/>
        <v>127384.50681688631</v>
      </c>
      <c r="G40" s="8">
        <f t="shared" si="8"/>
        <v>132800.28565689237</v>
      </c>
      <c r="H40" s="8">
        <f t="shared" si="8"/>
        <v>138344.52571866225</v>
      </c>
      <c r="I40" s="8">
        <f t="shared" si="8"/>
        <v>144018.60765117567</v>
      </c>
      <c r="J40" s="8">
        <f t="shared" si="8"/>
        <v>149823.87978337798</v>
      </c>
      <c r="K40" s="8">
        <f t="shared" si="8"/>
        <v>155761.65447099356</v>
      </c>
      <c r="L40" s="8">
        <f t="shared" si="8"/>
        <v>161833.20421973226</v>
      </c>
      <c r="M40" s="8">
        <f t="shared" si="8"/>
        <v>168039.75757288607</v>
      </c>
    </row>
    <row r="45" spans="1:13" x14ac:dyDescent="0.2">
      <c r="A45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0"/>
  <sheetViews>
    <sheetView topLeftCell="A15" workbookViewId="0">
      <selection activeCell="D37" sqref="D37"/>
    </sheetView>
  </sheetViews>
  <sheetFormatPr baseColWidth="10" defaultColWidth="8.83203125" defaultRowHeight="15" x14ac:dyDescent="0.2"/>
  <cols>
    <col min="1" max="1" width="29.5" bestFit="1" customWidth="1"/>
    <col min="2" max="4" width="10.5" bestFit="1" customWidth="1"/>
  </cols>
  <sheetData>
    <row r="1" spans="1:4" x14ac:dyDescent="0.2">
      <c r="B1" t="s">
        <v>78</v>
      </c>
      <c r="C1" t="s">
        <v>95</v>
      </c>
      <c r="D1" t="s">
        <v>96</v>
      </c>
    </row>
    <row r="2" spans="1:4" x14ac:dyDescent="0.2">
      <c r="A2" s="4" t="s">
        <v>136</v>
      </c>
    </row>
    <row r="3" spans="1:4" x14ac:dyDescent="0.2">
      <c r="A3" t="str">
        <f>IncomeStatement_Year1!A7</f>
        <v>Food Truck Sales</v>
      </c>
      <c r="B3" s="5">
        <f>IncomeStatement_Year1!N7</f>
        <v>181165.06244680824</v>
      </c>
      <c r="C3" s="5">
        <f>IncomeStatement_Year2!N7</f>
        <v>230031.5568921605</v>
      </c>
      <c r="D3" s="5">
        <f>IncomeStatement_Year3!N7</f>
        <v>292079.03804171662</v>
      </c>
    </row>
    <row r="4" spans="1:4" x14ac:dyDescent="0.2">
      <c r="A4" s="4" t="s">
        <v>80</v>
      </c>
      <c r="B4" s="15">
        <f>SUM(B3:B3)</f>
        <v>181165.06244680824</v>
      </c>
      <c r="C4" s="15">
        <f>SUM(C3:C3)</f>
        <v>230031.5568921605</v>
      </c>
      <c r="D4" s="15">
        <f>SUM(D3:D3)</f>
        <v>292079.03804171662</v>
      </c>
    </row>
    <row r="6" spans="1:4" x14ac:dyDescent="0.2">
      <c r="A6" t="s">
        <v>81</v>
      </c>
      <c r="B6" s="5">
        <f>IncomeStatement_Year1!N10</f>
        <v>54349.518734042482</v>
      </c>
      <c r="C6" s="5">
        <f>IncomeStatement_Year2!N10</f>
        <v>69009.467067648133</v>
      </c>
      <c r="D6" s="5">
        <f>IncomeStatement_Year3!N10</f>
        <v>87623.711412514967</v>
      </c>
    </row>
    <row r="7" spans="1:4" x14ac:dyDescent="0.2">
      <c r="A7" t="s">
        <v>82</v>
      </c>
      <c r="B7" s="5">
        <f>IncomeStatement_Year1!N11</f>
        <v>59784.470607446725</v>
      </c>
      <c r="C7" s="5">
        <f>IncomeStatement_Year2!N11</f>
        <v>75910.413774412969</v>
      </c>
      <c r="D7" s="5">
        <f>IncomeStatement_Year3!N11</f>
        <v>96386.082553766479</v>
      </c>
    </row>
    <row r="8" spans="1:4" x14ac:dyDescent="0.2">
      <c r="A8" s="4" t="s">
        <v>83</v>
      </c>
      <c r="B8" s="15">
        <f>SUM(B6:B7)</f>
        <v>114133.98934148921</v>
      </c>
      <c r="C8" s="15">
        <f>SUM(C6:C7)</f>
        <v>144919.8808420611</v>
      </c>
      <c r="D8" s="15">
        <f>SUM(D6:D7)</f>
        <v>184009.79396628146</v>
      </c>
    </row>
    <row r="10" spans="1:4" x14ac:dyDescent="0.2">
      <c r="A10" s="4" t="s">
        <v>84</v>
      </c>
      <c r="B10" s="15">
        <f>B4-B8</f>
        <v>67031.073105319025</v>
      </c>
      <c r="C10" s="15">
        <f>C4-C8</f>
        <v>85111.676050099399</v>
      </c>
      <c r="D10" s="15">
        <f>D4-D8</f>
        <v>108069.24407543516</v>
      </c>
    </row>
    <row r="12" spans="1:4" x14ac:dyDescent="0.2">
      <c r="A12" s="4" t="s">
        <v>19</v>
      </c>
    </row>
    <row r="13" spans="1:4" x14ac:dyDescent="0.2">
      <c r="A13" t="str">
        <f>IncomeStatement_Year1!A18</f>
        <v>Accounting</v>
      </c>
      <c r="B13" s="5">
        <f>IncomeStatement_Year1!N18</f>
        <v>1200</v>
      </c>
      <c r="C13" s="5">
        <f>IncomeStatement_Year2!N18</f>
        <v>1200</v>
      </c>
      <c r="D13" s="5">
        <f>IncomeStatement_Year3!N18</f>
        <v>1200</v>
      </c>
    </row>
    <row r="14" spans="1:4" x14ac:dyDescent="0.2">
      <c r="A14" t="str">
        <f>IncomeStatement_Year1!A19</f>
        <v>Advertising</v>
      </c>
      <c r="B14" s="5">
        <f>IncomeStatement_Year1!N19</f>
        <v>3183.4253040885174</v>
      </c>
      <c r="C14" s="5">
        <f>IncomeStatement_Year2!N19</f>
        <v>5716.9744707662885</v>
      </c>
      <c r="D14" s="5">
        <f>IncomeStatement_Year3!N19</f>
        <v>10266.864769032656</v>
      </c>
    </row>
    <row r="15" spans="1:4" x14ac:dyDescent="0.2">
      <c r="A15" t="str">
        <f>IncomeStatement_Year1!A20</f>
        <v>Vehicle/Liability Insurance</v>
      </c>
      <c r="B15" s="5">
        <f>IncomeStatement_Year1!N20</f>
        <v>2500</v>
      </c>
      <c r="C15" s="5">
        <f>IncomeStatement_Year2!N20</f>
        <v>0</v>
      </c>
      <c r="D15" s="5">
        <f>IncomeStatement_Year3!N20</f>
        <v>0</v>
      </c>
    </row>
    <row r="16" spans="1:4" x14ac:dyDescent="0.2">
      <c r="A16" t="str">
        <f>IncomeStatement_Year1!A21</f>
        <v>Legal Professional</v>
      </c>
      <c r="B16" s="5">
        <f>IncomeStatement_Year1!N21</f>
        <v>250</v>
      </c>
      <c r="C16" s="5">
        <f>IncomeStatement_Year2!N21</f>
        <v>0</v>
      </c>
      <c r="D16" s="5">
        <f>IncomeStatement_Year3!N21</f>
        <v>0</v>
      </c>
    </row>
    <row r="17" spans="1:4" x14ac:dyDescent="0.2">
      <c r="A17" t="str">
        <f>IncomeStatement_Year1!A22</f>
        <v>Licenses</v>
      </c>
      <c r="B17" s="5">
        <f>IncomeStatement_Year1!N22</f>
        <v>250</v>
      </c>
      <c r="C17" s="5">
        <f>IncomeStatement_Year2!N22</f>
        <v>0</v>
      </c>
      <c r="D17" s="5">
        <f>IncomeStatement_Year3!N22</f>
        <v>0</v>
      </c>
    </row>
    <row r="18" spans="1:4" x14ac:dyDescent="0.2">
      <c r="A18" t="str">
        <f>IncomeStatement_Year1!A23</f>
        <v>Fuel and Vehicle Repairs</v>
      </c>
      <c r="B18" s="5">
        <f>IncomeStatement_Year1!N23</f>
        <v>3600</v>
      </c>
      <c r="C18" s="5">
        <f>IncomeStatement_Year2!N23</f>
        <v>3600</v>
      </c>
      <c r="D18" s="5">
        <f>IncomeStatement_Year3!N23</f>
        <v>3600</v>
      </c>
    </row>
    <row r="19" spans="1:4" x14ac:dyDescent="0.2">
      <c r="A19" t="str">
        <f>IncomeStatement_Year1!A24</f>
        <v>Credit Card Processing Fees</v>
      </c>
      <c r="B19" s="5">
        <f>IncomeStatement_Year1!N24</f>
        <v>4982.0392172872271</v>
      </c>
      <c r="C19" s="5">
        <f>IncomeStatement_Year2!N24</f>
        <v>6325.8678145344129</v>
      </c>
      <c r="D19" s="5">
        <f>IncomeStatement_Year3!N24</f>
        <v>8032.1735461472063</v>
      </c>
    </row>
    <row r="20" spans="1:4" x14ac:dyDescent="0.2">
      <c r="A20" t="str">
        <f>IncomeStatement_Year1!A25</f>
        <v>Office Supplies</v>
      </c>
      <c r="B20" s="5">
        <f>IncomeStatement_Year1!N25</f>
        <v>1200</v>
      </c>
      <c r="C20" s="5">
        <f>IncomeStatement_Year2!N25</f>
        <v>1200</v>
      </c>
      <c r="D20" s="5">
        <f>IncomeStatement_Year3!N25</f>
        <v>1200</v>
      </c>
    </row>
    <row r="21" spans="1:4" x14ac:dyDescent="0.2">
      <c r="A21" t="str">
        <f>IncomeStatement_Year1!A26</f>
        <v>Parking Fees</v>
      </c>
      <c r="B21" s="5">
        <f>IncomeStatement_Year1!N26</f>
        <v>1200</v>
      </c>
      <c r="C21" s="5">
        <f>IncomeStatement_Year2!N26</f>
        <v>1200</v>
      </c>
      <c r="D21" s="5">
        <f>IncomeStatement_Year3!N26</f>
        <v>1200</v>
      </c>
    </row>
    <row r="22" spans="1:4" x14ac:dyDescent="0.2">
      <c r="A22" t="str">
        <f>IncomeStatement_Year1!A27</f>
        <v>Permits</v>
      </c>
      <c r="B22" s="5">
        <f>IncomeStatement_Year1!N27</f>
        <v>1200</v>
      </c>
      <c r="C22" s="5">
        <f>IncomeStatement_Year2!N27</f>
        <v>1200</v>
      </c>
      <c r="D22" s="5">
        <f>IncomeStatement_Year3!N27</f>
        <v>1200</v>
      </c>
    </row>
    <row r="23" spans="1:4" x14ac:dyDescent="0.2">
      <c r="A23" t="str">
        <f>IncomeStatement_Year1!A28</f>
        <v>Telephone</v>
      </c>
      <c r="B23" s="5">
        <f>IncomeStatement_Year1!N28</f>
        <v>1200</v>
      </c>
      <c r="C23" s="5">
        <f>IncomeStatement_Year2!N28</f>
        <v>1200</v>
      </c>
      <c r="D23" s="5">
        <f>IncomeStatement_Year3!N28</f>
        <v>1200</v>
      </c>
    </row>
    <row r="24" spans="1:4" x14ac:dyDescent="0.2">
      <c r="A24" t="str">
        <f>IncomeStatement_Year1!A29</f>
        <v>Travel</v>
      </c>
      <c r="B24" s="5">
        <f>IncomeStatement_Year1!N29</f>
        <v>1200</v>
      </c>
      <c r="C24" s="5">
        <f>IncomeStatement_Year2!N29</f>
        <v>1200</v>
      </c>
      <c r="D24" s="5">
        <f>IncomeStatement_Year3!N29</f>
        <v>1200</v>
      </c>
    </row>
    <row r="25" spans="1:4" x14ac:dyDescent="0.2">
      <c r="A25" t="str">
        <f>IncomeStatement_Year1!A30</f>
        <v>Uniforms</v>
      </c>
      <c r="B25" s="5">
        <f>IncomeStatement_Year1!N30</f>
        <v>1200</v>
      </c>
      <c r="C25" s="5">
        <f>IncomeStatement_Year2!N30</f>
        <v>1200</v>
      </c>
      <c r="D25" s="5">
        <f>IncomeStatement_Year3!N30</f>
        <v>1200</v>
      </c>
    </row>
    <row r="26" spans="1:4" x14ac:dyDescent="0.2">
      <c r="A26" t="str">
        <f>IncomeStatement_Year1!A31</f>
        <v>Website</v>
      </c>
      <c r="B26" s="5">
        <f>IncomeStatement_Year1!N31</f>
        <v>600</v>
      </c>
      <c r="C26" s="5">
        <f>IncomeStatement_Year2!N31</f>
        <v>600</v>
      </c>
      <c r="D26" s="5">
        <f>IncomeStatement_Year3!N31</f>
        <v>600</v>
      </c>
    </row>
    <row r="27" spans="1:4" x14ac:dyDescent="0.2">
      <c r="A27" t="str">
        <f>IncomeStatement_Year1!A32</f>
        <v>Other</v>
      </c>
      <c r="B27" s="5">
        <f>IncomeStatement_Year1!N32</f>
        <v>0</v>
      </c>
      <c r="C27" s="5">
        <f>IncomeStatement_Year2!N32</f>
        <v>0</v>
      </c>
      <c r="D27" s="5">
        <f>IncomeStatement_Year3!N32</f>
        <v>0</v>
      </c>
    </row>
    <row r="28" spans="1:4" x14ac:dyDescent="0.2">
      <c r="A28" t="str">
        <f>IncomeStatement_Year1!A33</f>
        <v>Salaries</v>
      </c>
      <c r="B28" s="5">
        <f>IncomeStatement_Year1!N33</f>
        <v>0</v>
      </c>
      <c r="C28" s="5">
        <f>IncomeStatement_Year2!N33</f>
        <v>0</v>
      </c>
      <c r="D28" s="5">
        <f>IncomeStatement_Year3!N33</f>
        <v>0</v>
      </c>
    </row>
    <row r="29" spans="1:4" x14ac:dyDescent="0.2">
      <c r="A29" s="4" t="s">
        <v>90</v>
      </c>
      <c r="B29" s="15">
        <f>SUM(B13:B28)</f>
        <v>23765.464521375747</v>
      </c>
      <c r="C29" s="15">
        <f>SUM(C13:C28)</f>
        <v>24642.8422853007</v>
      </c>
      <c r="D29" s="15">
        <f>SUM(D13:D28)</f>
        <v>30899.038315179863</v>
      </c>
    </row>
    <row r="31" spans="1:4" x14ac:dyDescent="0.2">
      <c r="A31" s="4" t="s">
        <v>91</v>
      </c>
      <c r="B31" s="5">
        <f>IncomeStatement_Year1!N39</f>
        <v>37441.160260829434</v>
      </c>
      <c r="C31" s="5">
        <f>IncomeStatement_Year2!N39</f>
        <v>55277.2404623767</v>
      </c>
      <c r="D31" s="5">
        <f>IncomeStatement_Year3!N39</f>
        <v>72663.994133123255</v>
      </c>
    </row>
    <row r="33" spans="1:4" x14ac:dyDescent="0.2">
      <c r="A33" s="4" t="s">
        <v>92</v>
      </c>
      <c r="B33" s="5">
        <f>IncomeStatement_Year1!N41</f>
        <v>0</v>
      </c>
      <c r="C33" s="5">
        <f>IncomeStatement_Year2!N41</f>
        <v>0</v>
      </c>
      <c r="D33" s="5">
        <f>IncomeStatement_Year3!N41</f>
        <v>0</v>
      </c>
    </row>
    <row r="35" spans="1:4" x14ac:dyDescent="0.2">
      <c r="A35" s="4" t="s">
        <v>93</v>
      </c>
      <c r="B35" s="5">
        <f>IncomeStatement_Year1!N43</f>
        <v>37441.160260829434</v>
      </c>
      <c r="C35" s="5">
        <f>IncomeStatement_Year2!N43</f>
        <v>55277.2404623767</v>
      </c>
      <c r="D35" s="5">
        <f>IncomeStatement_Year3!N43</f>
        <v>72663.994133123255</v>
      </c>
    </row>
    <row r="40" spans="1:4" x14ac:dyDescent="0.2">
      <c r="A40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12"/>
  <sheetViews>
    <sheetView workbookViewId="0">
      <selection activeCell="D9" sqref="D9"/>
    </sheetView>
  </sheetViews>
  <sheetFormatPr baseColWidth="10" defaultColWidth="8.83203125" defaultRowHeight="15" x14ac:dyDescent="0.2"/>
  <cols>
    <col min="1" max="1" width="19.5" customWidth="1"/>
    <col min="2" max="2" width="10" bestFit="1" customWidth="1"/>
    <col min="3" max="3" width="5.5" bestFit="1" customWidth="1"/>
    <col min="4" max="4" width="10" bestFit="1" customWidth="1"/>
    <col min="5" max="5" width="5.5" bestFit="1" customWidth="1"/>
    <col min="6" max="6" width="20.1640625" bestFit="1" customWidth="1"/>
    <col min="9" max="9" width="25.6640625" customWidth="1"/>
  </cols>
  <sheetData>
    <row r="2" spans="1:13" x14ac:dyDescent="0.2">
      <c r="A2" s="22" t="s">
        <v>147</v>
      </c>
      <c r="B2" s="22"/>
      <c r="C2" s="22"/>
      <c r="D2" s="22"/>
      <c r="E2" s="22"/>
      <c r="F2" s="22" t="s">
        <v>148</v>
      </c>
      <c r="G2" s="22"/>
      <c r="H2" s="22"/>
      <c r="I2" s="22"/>
      <c r="J2" s="22" t="s">
        <v>149</v>
      </c>
      <c r="K2" s="22"/>
    </row>
    <row r="3" spans="1:13" ht="16" thickBot="1" x14ac:dyDescent="0.25">
      <c r="A3" s="29"/>
      <c r="E3" s="29"/>
      <c r="I3" s="29"/>
    </row>
    <row r="4" spans="1:13" x14ac:dyDescent="0.2">
      <c r="A4" s="54" t="s">
        <v>140</v>
      </c>
      <c r="B4" s="54"/>
      <c r="C4" s="54"/>
      <c r="D4" s="54"/>
      <c r="E4" s="54"/>
      <c r="F4" s="54"/>
      <c r="G4" s="54"/>
      <c r="I4" s="55" t="s">
        <v>139</v>
      </c>
      <c r="J4" s="56"/>
      <c r="K4" s="56"/>
      <c r="L4" s="57"/>
    </row>
    <row r="5" spans="1:13" x14ac:dyDescent="0.2">
      <c r="I5" s="30"/>
      <c r="L5" s="31"/>
    </row>
    <row r="6" spans="1:13" x14ac:dyDescent="0.2">
      <c r="B6" s="23">
        <v>2016</v>
      </c>
      <c r="C6" s="23"/>
      <c r="D6" s="23">
        <v>2017</v>
      </c>
      <c r="E6" s="23"/>
      <c r="F6" s="23">
        <v>2018</v>
      </c>
      <c r="I6" s="32"/>
      <c r="J6" s="22">
        <v>2016</v>
      </c>
      <c r="K6" s="22">
        <v>2017</v>
      </c>
      <c r="L6" s="33">
        <v>2018</v>
      </c>
    </row>
    <row r="7" spans="1:13" x14ac:dyDescent="0.2">
      <c r="A7" t="s">
        <v>137</v>
      </c>
      <c r="B7" s="21">
        <f>AnnualSummary!B3</f>
        <v>181165.06244680824</v>
      </c>
      <c r="C7" s="26">
        <f>B7/B7</f>
        <v>1</v>
      </c>
      <c r="D7" s="21">
        <f>AnnualSummary!C3</f>
        <v>230031.5568921605</v>
      </c>
      <c r="E7" s="26">
        <f>D7/D7</f>
        <v>1</v>
      </c>
      <c r="F7" s="21">
        <f>AnnualSummary!D3</f>
        <v>292079.03804171662</v>
      </c>
      <c r="G7" s="26">
        <f>F7/F7</f>
        <v>1</v>
      </c>
      <c r="I7" s="34" t="s">
        <v>144</v>
      </c>
      <c r="J7" s="29" t="s">
        <v>145</v>
      </c>
      <c r="K7" s="35">
        <f>(AnnualSummary!C3-AnnualSummary!B3)/AnnualSummary!B3</f>
        <v>0.26973464853191503</v>
      </c>
      <c r="L7" s="36">
        <f>(AnnualSummary!D3-AnnualSummary!C3)/AnnualSummary!C3</f>
        <v>0.26973464853191498</v>
      </c>
    </row>
    <row r="8" spans="1:13" x14ac:dyDescent="0.2">
      <c r="A8" t="s">
        <v>83</v>
      </c>
      <c r="B8" s="24">
        <f>AnnualSummary!B8</f>
        <v>114133.98934148921</v>
      </c>
      <c r="C8" s="27">
        <f>B8/B7</f>
        <v>0.63000000000000012</v>
      </c>
      <c r="D8" s="24">
        <f>AnnualSummary!C8</f>
        <v>144919.8808420611</v>
      </c>
      <c r="E8" s="27">
        <f>D8/D7</f>
        <v>0.62999999999999989</v>
      </c>
      <c r="F8" s="24">
        <f>AnnualSummary!D8</f>
        <v>184009.79396628146</v>
      </c>
      <c r="G8" s="27">
        <f>F8/F7</f>
        <v>0.63</v>
      </c>
      <c r="I8" s="34" t="s">
        <v>141</v>
      </c>
      <c r="J8" s="35">
        <f>'Dashboard Example'!B9/'Dashboard Example'!B7</f>
        <v>0.36999999999999988</v>
      </c>
      <c r="K8" s="35">
        <f>'Dashboard Example'!D9/'Dashboard Example'!D7</f>
        <v>0.37000000000000005</v>
      </c>
      <c r="L8" s="36">
        <f>'Dashboard Example'!F9/'Dashboard Example'!F7</f>
        <v>0.37000000000000005</v>
      </c>
    </row>
    <row r="9" spans="1:13" x14ac:dyDescent="0.2">
      <c r="A9" t="s">
        <v>138</v>
      </c>
      <c r="B9" s="21">
        <f>B7-B8</f>
        <v>67031.073105319025</v>
      </c>
      <c r="C9" s="26">
        <f>B9/B7</f>
        <v>0.36999999999999988</v>
      </c>
      <c r="D9" s="21">
        <f>D7-D8</f>
        <v>85111.676050099399</v>
      </c>
      <c r="E9" s="26">
        <f>D9/D7</f>
        <v>0.37000000000000005</v>
      </c>
      <c r="F9" s="21">
        <f>F7-F8</f>
        <v>108069.24407543516</v>
      </c>
      <c r="G9" s="26">
        <f>F9/F7</f>
        <v>0.37000000000000005</v>
      </c>
      <c r="I9" s="34" t="s">
        <v>142</v>
      </c>
      <c r="J9" s="35">
        <f>'Dashboard Example'!B11/'Dashboard Example'!B7</f>
        <v>0.20666876800168085</v>
      </c>
      <c r="K9" s="35">
        <f>'Dashboard Example'!D11/'Dashboard Example'!D7</f>
        <v>0.24030285761310063</v>
      </c>
      <c r="L9" s="36">
        <f>'Dashboard Example'!F11/'Dashboard Example'!F7</f>
        <v>0.24878195511841186</v>
      </c>
    </row>
    <row r="10" spans="1:13" ht="16" thickBot="1" x14ac:dyDescent="0.25">
      <c r="A10" t="s">
        <v>19</v>
      </c>
      <c r="B10" s="24">
        <f>AnnualSummary!B29</f>
        <v>23765.464521375747</v>
      </c>
      <c r="C10" s="27">
        <f>B10/B7</f>
        <v>0.13118127855559075</v>
      </c>
      <c r="D10" s="24">
        <f>AnnualSummary!C29</f>
        <v>24642.8422853007</v>
      </c>
      <c r="E10" s="27">
        <f>D10/D7</f>
        <v>0.10712809415472217</v>
      </c>
      <c r="F10" s="24">
        <f>AnnualSummary!D29</f>
        <v>30899.038315179863</v>
      </c>
      <c r="G10" s="27">
        <f>F10/F7</f>
        <v>0.10578998932051625</v>
      </c>
      <c r="I10" s="37" t="s">
        <v>143</v>
      </c>
      <c r="J10" s="38">
        <f>IncomeStatement_Year1!N39/(CashFlowStatement_Year1!O33+CashFlowStatement_Year1!O34)</f>
        <v>3.4195173450596479</v>
      </c>
      <c r="K10" s="38">
        <f>IncomeStatement_Year2!N39/(CashFlowStatement_Year2!N33+CashFlowStatement_Year2!N34)</f>
        <v>5.0484942568909243</v>
      </c>
      <c r="L10" s="39">
        <f>IncomeStatement_Year3!N39/(CashFlowStatement_Year3!N33+CashFlowStatement_Year3!N34)</f>
        <v>6.6364339825088239</v>
      </c>
      <c r="M10" s="29" t="s">
        <v>146</v>
      </c>
    </row>
    <row r="11" spans="1:13" ht="16" thickBot="1" x14ac:dyDescent="0.25">
      <c r="A11" t="s">
        <v>93</v>
      </c>
      <c r="B11" s="25">
        <f>AnnualSummary!B35</f>
        <v>37441.160260829434</v>
      </c>
      <c r="C11" s="28">
        <f>B11/B7</f>
        <v>0.20666876800168085</v>
      </c>
      <c r="D11" s="25">
        <f>AnnualSummary!C35</f>
        <v>55277.2404623767</v>
      </c>
      <c r="E11" s="28">
        <f>D11/D7</f>
        <v>0.24030285761310063</v>
      </c>
      <c r="F11" s="25">
        <f>AnnualSummary!D35</f>
        <v>72663.994133123255</v>
      </c>
      <c r="G11" s="28">
        <f>F11/F7</f>
        <v>0.24878195511841186</v>
      </c>
    </row>
    <row r="12" spans="1:13" ht="16" thickTop="1" x14ac:dyDescent="0.2">
      <c r="B12" s="40"/>
      <c r="C12" s="35"/>
      <c r="D12" s="40"/>
      <c r="E12" s="35"/>
      <c r="F12" s="40"/>
      <c r="G12" s="35"/>
    </row>
  </sheetData>
  <mergeCells count="2">
    <mergeCell ref="A4:G4"/>
    <mergeCell ref="I4:L4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101"/>
  <sheetViews>
    <sheetView topLeftCell="A59" workbookViewId="0">
      <selection activeCell="A79" sqref="A79"/>
    </sheetView>
  </sheetViews>
  <sheetFormatPr baseColWidth="10" defaultColWidth="8.83203125" defaultRowHeight="15" x14ac:dyDescent="0.2"/>
  <sheetData>
    <row r="1" spans="1:2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100" spans="1:37" x14ac:dyDescent="0.2">
      <c r="B100" s="16">
        <v>1</v>
      </c>
      <c r="C100" s="16">
        <v>2</v>
      </c>
      <c r="D100" s="16">
        <v>3</v>
      </c>
      <c r="E100" s="16">
        <v>4</v>
      </c>
      <c r="F100" s="16">
        <v>5</v>
      </c>
      <c r="G100" s="16">
        <v>6</v>
      </c>
      <c r="H100" s="16">
        <v>7</v>
      </c>
      <c r="I100" s="16">
        <v>8</v>
      </c>
      <c r="J100" s="16">
        <v>9</v>
      </c>
      <c r="K100" s="16">
        <v>10</v>
      </c>
      <c r="L100" s="16">
        <v>11</v>
      </c>
      <c r="M100" s="16">
        <v>12</v>
      </c>
      <c r="N100" s="16">
        <v>13</v>
      </c>
      <c r="O100" s="16">
        <v>14</v>
      </c>
      <c r="P100" s="16">
        <v>15</v>
      </c>
      <c r="Q100" s="16">
        <v>16</v>
      </c>
      <c r="R100" s="16">
        <v>17</v>
      </c>
      <c r="S100" s="16">
        <v>18</v>
      </c>
      <c r="T100" s="16">
        <v>19</v>
      </c>
      <c r="U100" s="16">
        <v>20</v>
      </c>
      <c r="V100" s="16">
        <v>21</v>
      </c>
      <c r="W100" s="16">
        <v>22</v>
      </c>
      <c r="X100" s="16">
        <v>23</v>
      </c>
      <c r="Y100" s="16">
        <v>24</v>
      </c>
      <c r="Z100" s="16">
        <v>25</v>
      </c>
      <c r="AA100" s="16">
        <v>26</v>
      </c>
      <c r="AB100" s="16">
        <v>27</v>
      </c>
      <c r="AC100" s="16">
        <v>28</v>
      </c>
      <c r="AD100" s="16">
        <v>29</v>
      </c>
      <c r="AE100" s="16">
        <v>30</v>
      </c>
      <c r="AF100" s="16">
        <v>31</v>
      </c>
      <c r="AG100" s="16">
        <v>32</v>
      </c>
      <c r="AH100" s="16">
        <v>33</v>
      </c>
      <c r="AI100" s="16">
        <v>34</v>
      </c>
      <c r="AJ100" s="16">
        <v>35</v>
      </c>
      <c r="AK100" s="16">
        <v>36</v>
      </c>
    </row>
    <row r="101" spans="1:37" x14ac:dyDescent="0.2">
      <c r="A101" s="16" t="s">
        <v>93</v>
      </c>
      <c r="B101" s="16">
        <f>IncomeStatement_Year1!B43</f>
        <v>-134.58333333333303</v>
      </c>
      <c r="C101" s="16">
        <f>IncomeStatement_Year1!C43</f>
        <v>2952.4369599531919</v>
      </c>
      <c r="D101" s="16">
        <f>IncomeStatement_Year1!D43</f>
        <v>3040.8525139324579</v>
      </c>
      <c r="E101" s="16">
        <f>IncomeStatement_Year1!E43</f>
        <v>3130.6760576963788</v>
      </c>
      <c r="F101" s="16">
        <f>IncomeStatement_Year1!F43</f>
        <v>3221.9198262539549</v>
      </c>
      <c r="G101" s="16">
        <f>IncomeStatement_Year1!G43</f>
        <v>3314.595513208963</v>
      </c>
      <c r="H101" s="16">
        <f>IncomeStatement_Year1!H43</f>
        <v>3408.7142206176072</v>
      </c>
      <c r="I101" s="16">
        <f>IncomeStatement_Year1!I43</f>
        <v>3504.2864058759956</v>
      </c>
      <c r="J101" s="16">
        <f>IncomeStatement_Year1!J43</f>
        <v>3601.3218254796716</v>
      </c>
      <c r="K101" s="16">
        <f>IncomeStatement_Year1!K43</f>
        <v>3699.8294754892713</v>
      </c>
      <c r="L101" s="16">
        <f>IncomeStatement_Year1!L43</f>
        <v>3799.8175285279513</v>
      </c>
      <c r="M101" s="16">
        <f>IncomeStatement_Year1!M43</f>
        <v>3901.293267127327</v>
      </c>
      <c r="N101" s="16">
        <f>IncomeStatement_Year2!B43</f>
        <v>4004.2630132292134</v>
      </c>
      <c r="O101" s="16">
        <f>IncomeStatement_Year2!C43</f>
        <v>4108.7320536407333</v>
      </c>
      <c r="P101" s="16">
        <f>IncomeStatement_Year2!D43</f>
        <v>4214.7045612299944</v>
      </c>
      <c r="Q101" s="16">
        <f>IncomeStatement_Year2!E43</f>
        <v>4322.18351163856</v>
      </c>
      <c r="R101" s="16">
        <f>IncomeStatement_Year2!F43</f>
        <v>4431.1705952758321</v>
      </c>
      <c r="S101" s="16">
        <f>IncomeStatement_Year2!G43</f>
        <v>4541.6661243481185</v>
      </c>
      <c r="T101" s="16">
        <f>IncomeStatement_Year2!H43</f>
        <v>4653.6689346629119</v>
      </c>
      <c r="U101" s="16">
        <f>IncomeStatement_Year2!I43</f>
        <v>4767.1762819354917</v>
      </c>
      <c r="V101" s="16">
        <f>IncomeStatement_Year2!J43</f>
        <v>4882.1837323111686</v>
      </c>
      <c r="W101" s="16">
        <f>IncomeStatement_Year2!K43</f>
        <v>4998.6850468019356</v>
      </c>
      <c r="X101" s="16">
        <f>IncomeStatement_Year2!L43</f>
        <v>5116.6720593208929</v>
      </c>
      <c r="Y101" s="16">
        <f>IncomeStatement_Year2!M43</f>
        <v>5236.1345479818501</v>
      </c>
      <c r="Z101" s="16">
        <f>IncomeStatement_Year3!B43</f>
        <v>5357.0600993145672</v>
      </c>
      <c r="AA101" s="16">
        <f>IncomeStatement_Year3!C43</f>
        <v>5479.4339650283482</v>
      </c>
      <c r="AB101" s="16">
        <f>IncomeStatement_Year3!D43</f>
        <v>5603.238910938122</v>
      </c>
      <c r="AC101" s="16">
        <f>IncomeStatement_Year3!E43</f>
        <v>5728.4550576475212</v>
      </c>
      <c r="AD101" s="16">
        <f>IncomeStatement_Year3!F43</f>
        <v>5855.0597125630175</v>
      </c>
      <c r="AE101" s="16">
        <f>IncomeStatement_Year3!G43</f>
        <v>5983.027192791471</v>
      </c>
      <c r="AF101" s="16">
        <f>IncomeStatement_Year3!H43</f>
        <v>6112.3286384509211</v>
      </c>
      <c r="AG101" s="16">
        <f>IncomeStatement_Year3!I43</f>
        <v>6242.931815900507</v>
      </c>
      <c r="AH101" s="16">
        <f>IncomeStatement_Year3!J43</f>
        <v>6374.8009103705735</v>
      </c>
      <c r="AI101" s="16">
        <f>IncomeStatement_Year3!K43</f>
        <v>6507.8963074475414</v>
      </c>
      <c r="AJ101" s="16">
        <f>IncomeStatement_Year3!L43</f>
        <v>6642.1743628408231</v>
      </c>
      <c r="AK101" s="16">
        <f>IncomeStatement_Year3!M43</f>
        <v>6777.5871598298481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2"/>
  <sheetViews>
    <sheetView tabSelected="1" workbookViewId="0">
      <selection activeCell="B4" sqref="B4"/>
    </sheetView>
  </sheetViews>
  <sheetFormatPr baseColWidth="10" defaultColWidth="8.83203125" defaultRowHeight="15" x14ac:dyDescent="0.2"/>
  <cols>
    <col min="1" max="1" width="32.33203125" bestFit="1" customWidth="1"/>
    <col min="2" max="2" width="23.5" bestFit="1" customWidth="1"/>
    <col min="3" max="3" width="29.5" bestFit="1" customWidth="1"/>
    <col min="4" max="4" width="15.33203125" bestFit="1" customWidth="1"/>
    <col min="5" max="5" width="18.6640625" bestFit="1" customWidth="1"/>
    <col min="6" max="10" width="11.6640625" bestFit="1" customWidth="1"/>
    <col min="11" max="37" width="12.83203125" bestFit="1" customWidth="1"/>
  </cols>
  <sheetData>
    <row r="1" spans="1:2" x14ac:dyDescent="0.2">
      <c r="A1" t="s">
        <v>0</v>
      </c>
      <c r="B1" s="41" t="s">
        <v>206</v>
      </c>
    </row>
    <row r="3" spans="1:2" ht="32" x14ac:dyDescent="0.2">
      <c r="A3" s="1" t="s">
        <v>1</v>
      </c>
      <c r="B3" s="18">
        <v>0.25</v>
      </c>
    </row>
    <row r="4" spans="1:2" ht="32" x14ac:dyDescent="0.2">
      <c r="A4" s="1" t="s">
        <v>2</v>
      </c>
      <c r="B4" s="19">
        <v>0</v>
      </c>
    </row>
    <row r="6" spans="1:2" x14ac:dyDescent="0.2">
      <c r="A6" s="4" t="s">
        <v>3</v>
      </c>
    </row>
    <row r="7" spans="1:2" x14ac:dyDescent="0.2">
      <c r="A7" s="4" t="s">
        <v>4</v>
      </c>
    </row>
    <row r="8" spans="1:2" x14ac:dyDescent="0.2">
      <c r="A8" t="s">
        <v>5</v>
      </c>
      <c r="B8" s="19">
        <v>0</v>
      </c>
    </row>
    <row r="11" spans="1:2" x14ac:dyDescent="0.2">
      <c r="A11" t="s">
        <v>6</v>
      </c>
      <c r="B11" s="3">
        <f>IF(LoanModule!C5&lt;=1,LoanModule!C2,0)</f>
        <v>45000</v>
      </c>
    </row>
    <row r="12" spans="1:2" x14ac:dyDescent="0.2">
      <c r="A12" t="s">
        <v>7</v>
      </c>
      <c r="B12" s="3">
        <f>IF(LoanModule!C5&gt;1,LoanModule!C2,0)</f>
        <v>0</v>
      </c>
    </row>
    <row r="13" spans="1:2" x14ac:dyDescent="0.2">
      <c r="A13" s="4" t="s">
        <v>8</v>
      </c>
      <c r="B13" s="3">
        <f>B8+B11</f>
        <v>45000</v>
      </c>
    </row>
    <row r="15" spans="1:2" x14ac:dyDescent="0.2">
      <c r="A15" t="s">
        <v>9</v>
      </c>
    </row>
    <row r="18" spans="1:37" x14ac:dyDescent="0.2">
      <c r="A18" t="s">
        <v>10</v>
      </c>
      <c r="B18" t="s">
        <v>11</v>
      </c>
      <c r="C18" t="s">
        <v>12</v>
      </c>
      <c r="D18" t="s">
        <v>13</v>
      </c>
      <c r="E18" t="s">
        <v>14</v>
      </c>
    </row>
    <row r="19" spans="1:37" x14ac:dyDescent="0.2">
      <c r="A19" s="41" t="s">
        <v>10</v>
      </c>
      <c r="B19" s="19">
        <v>12000</v>
      </c>
      <c r="C19" s="20">
        <v>7</v>
      </c>
      <c r="D19" s="19">
        <v>0</v>
      </c>
      <c r="E19" s="20">
        <v>0</v>
      </c>
    </row>
    <row r="21" spans="1:37" x14ac:dyDescent="0.2">
      <c r="A21" s="29" t="s">
        <v>151</v>
      </c>
      <c r="B21" t="s">
        <v>11</v>
      </c>
      <c r="C21" t="s">
        <v>12</v>
      </c>
      <c r="D21" t="s">
        <v>13</v>
      </c>
      <c r="E21" t="s">
        <v>14</v>
      </c>
    </row>
    <row r="22" spans="1:37" x14ac:dyDescent="0.2">
      <c r="A22" s="41" t="s">
        <v>152</v>
      </c>
      <c r="B22" s="19">
        <v>5500</v>
      </c>
      <c r="C22" s="20">
        <v>7</v>
      </c>
      <c r="D22" s="19">
        <v>0</v>
      </c>
      <c r="E22" s="20">
        <v>0</v>
      </c>
    </row>
    <row r="25" spans="1:37" x14ac:dyDescent="0.2">
      <c r="A25" t="s">
        <v>16</v>
      </c>
    </row>
    <row r="26" spans="1:37" x14ac:dyDescent="0.2">
      <c r="A26" s="29" t="s">
        <v>150</v>
      </c>
      <c r="B26" s="20">
        <v>0</v>
      </c>
    </row>
    <row r="28" spans="1:37" x14ac:dyDescent="0.2">
      <c r="A28" t="s">
        <v>17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  <c r="M28">
        <v>12</v>
      </c>
      <c r="N28">
        <v>13</v>
      </c>
      <c r="O28">
        <v>14</v>
      </c>
      <c r="P28">
        <v>15</v>
      </c>
      <c r="Q28">
        <v>16</v>
      </c>
      <c r="R28">
        <v>17</v>
      </c>
      <c r="S28">
        <v>18</v>
      </c>
      <c r="T28">
        <v>19</v>
      </c>
      <c r="U28">
        <v>20</v>
      </c>
      <c r="V28">
        <v>21</v>
      </c>
      <c r="W28">
        <v>22</v>
      </c>
      <c r="X28">
        <v>23</v>
      </c>
      <c r="Y28">
        <v>24</v>
      </c>
      <c r="Z28">
        <v>25</v>
      </c>
      <c r="AA28">
        <v>26</v>
      </c>
      <c r="AB28">
        <v>27</v>
      </c>
      <c r="AC28">
        <v>28</v>
      </c>
      <c r="AD28">
        <v>29</v>
      </c>
      <c r="AE28">
        <v>30</v>
      </c>
      <c r="AF28">
        <v>31</v>
      </c>
      <c r="AG28">
        <v>32</v>
      </c>
      <c r="AH28">
        <v>33</v>
      </c>
      <c r="AI28">
        <v>34</v>
      </c>
      <c r="AJ28">
        <v>35</v>
      </c>
      <c r="AK28">
        <v>36</v>
      </c>
    </row>
    <row r="29" spans="1:37" x14ac:dyDescent="0.2">
      <c r="A29" s="29" t="s">
        <v>155</v>
      </c>
      <c r="B29" s="3">
        <f>RevenueModule!B3</f>
        <v>12</v>
      </c>
      <c r="C29" s="3">
        <f>RevenueModule!C3</f>
        <v>12.120000000000001</v>
      </c>
      <c r="D29" s="3">
        <f>RevenueModule!D3</f>
        <v>12.241200000000001</v>
      </c>
      <c r="E29" s="3">
        <f>RevenueModule!E3</f>
        <v>12.363612000000002</v>
      </c>
      <c r="F29" s="3">
        <f>RevenueModule!F3</f>
        <v>12.487248120000002</v>
      </c>
      <c r="G29" s="3">
        <f>RevenueModule!G3</f>
        <v>12.612120601200003</v>
      </c>
      <c r="H29" s="3">
        <f>RevenueModule!H3</f>
        <v>12.738241807212002</v>
      </c>
      <c r="I29" s="3">
        <f>RevenueModule!I3</f>
        <v>12.865624225284122</v>
      </c>
      <c r="J29" s="3">
        <f>RevenueModule!J3</f>
        <v>12.994280467536964</v>
      </c>
      <c r="K29" s="3">
        <f>RevenueModule!K3</f>
        <v>13.124223272212333</v>
      </c>
      <c r="L29" s="3">
        <f>RevenueModule!L3</f>
        <v>13.255465504934456</v>
      </c>
      <c r="M29" s="3">
        <f>RevenueModule!M3</f>
        <v>13.388020159983801</v>
      </c>
      <c r="N29" s="3">
        <f>RevenueModule!N3</f>
        <v>13.52190036158364</v>
      </c>
      <c r="O29" s="3">
        <f>RevenueModule!O3</f>
        <v>13.657119365199476</v>
      </c>
      <c r="P29" s="3">
        <f>RevenueModule!P3</f>
        <v>13.79369055885147</v>
      </c>
      <c r="Q29" s="3">
        <f>RevenueModule!Q3</f>
        <v>13.931627464439984</v>
      </c>
      <c r="R29" s="3">
        <f>RevenueModule!R3</f>
        <v>14.070943739084385</v>
      </c>
      <c r="S29" s="3">
        <f>RevenueModule!S3</f>
        <v>14.211653176475229</v>
      </c>
      <c r="T29" s="3">
        <f>RevenueModule!T3</f>
        <v>14.353769708239982</v>
      </c>
      <c r="U29" s="3">
        <f>RevenueModule!U3</f>
        <v>14.497307405322381</v>
      </c>
      <c r="V29" s="3">
        <f>RevenueModule!V3</f>
        <v>14.642280479375605</v>
      </c>
      <c r="W29" s="3">
        <f>RevenueModule!W3</f>
        <v>14.788703284169362</v>
      </c>
      <c r="X29" s="3">
        <f>RevenueModule!X3</f>
        <v>14.936590317011056</v>
      </c>
      <c r="Y29" s="3">
        <f>RevenueModule!Y3</f>
        <v>15.085956220181167</v>
      </c>
      <c r="Z29" s="3">
        <f>RevenueModule!Z3</f>
        <v>15.236815782382978</v>
      </c>
      <c r="AA29" s="3">
        <f>RevenueModule!AA3</f>
        <v>15.389183940206808</v>
      </c>
      <c r="AB29" s="3">
        <f>RevenueModule!AB3</f>
        <v>15.543075779608875</v>
      </c>
      <c r="AC29" s="3">
        <f>RevenueModule!AC3</f>
        <v>15.698506537404963</v>
      </c>
      <c r="AD29" s="3">
        <f>RevenueModule!AD3</f>
        <v>15.855491602779013</v>
      </c>
      <c r="AE29" s="3">
        <f>RevenueModule!AE3</f>
        <v>16.014046518806804</v>
      </c>
      <c r="AF29" s="3">
        <f>RevenueModule!AF3</f>
        <v>16.174186983994872</v>
      </c>
      <c r="AG29" s="3">
        <f>RevenueModule!AG3</f>
        <v>16.335928853834822</v>
      </c>
      <c r="AH29" s="3">
        <f>RevenueModule!AH3</f>
        <v>16.499288142373171</v>
      </c>
      <c r="AI29" s="3">
        <f>RevenueModule!AI3</f>
        <v>16.664281023796903</v>
      </c>
      <c r="AJ29" s="3">
        <f>RevenueModule!AJ3</f>
        <v>16.830923834034873</v>
      </c>
      <c r="AK29" s="3">
        <f>RevenueModule!AK3</f>
        <v>16.999233072375223</v>
      </c>
    </row>
    <row r="31" spans="1:37" x14ac:dyDescent="0.2">
      <c r="A31" s="29" t="s">
        <v>156</v>
      </c>
      <c r="B31" s="49">
        <f>RevenueModule!B2*RevenueModule!B5*RevenueModule!B6</f>
        <v>1125</v>
      </c>
      <c r="C31" s="49">
        <f>RevenueModule!C2*RevenueModule!C5*RevenueModule!C6</f>
        <v>1136.25</v>
      </c>
      <c r="D31" s="49">
        <f>RevenueModule!D2*RevenueModule!D5*RevenueModule!D6</f>
        <v>1147.6125</v>
      </c>
      <c r="E31" s="49">
        <f>RevenueModule!E2*RevenueModule!E5*RevenueModule!E6</f>
        <v>1159.0886249999999</v>
      </c>
      <c r="F31" s="49">
        <f>RevenueModule!F2*RevenueModule!F5*RevenueModule!F6</f>
        <v>1170.6795112500001</v>
      </c>
      <c r="G31" s="49">
        <f>RevenueModule!G2*RevenueModule!G5*RevenueModule!G6</f>
        <v>1182.3863063624999</v>
      </c>
      <c r="H31" s="49">
        <f>RevenueModule!H2*RevenueModule!H5*RevenueModule!H6</f>
        <v>1194.2101694261248</v>
      </c>
      <c r="I31" s="49">
        <f>RevenueModule!I2*RevenueModule!I5*RevenueModule!I6</f>
        <v>1206.1522711203861</v>
      </c>
      <c r="J31" s="49">
        <f>RevenueModule!J2*RevenueModule!J5*RevenueModule!J6</f>
        <v>1218.21379383159</v>
      </c>
      <c r="K31" s="49">
        <f>RevenueModule!K2*RevenueModule!K5*RevenueModule!K6</f>
        <v>1230.3959317699059</v>
      </c>
      <c r="L31" s="49">
        <f>RevenueModule!L2*RevenueModule!L5*RevenueModule!L6</f>
        <v>1242.699891087605</v>
      </c>
      <c r="M31" s="49">
        <f>RevenueModule!M2*RevenueModule!M5*RevenueModule!M6</f>
        <v>1255.1268899984811</v>
      </c>
      <c r="N31" s="49">
        <f>RevenueModule!N2*RevenueModule!N5*RevenueModule!N6</f>
        <v>1267.6781588984661</v>
      </c>
      <c r="O31" s="49">
        <f>RevenueModule!O2*RevenueModule!O5*RevenueModule!O6</f>
        <v>1280.3549404874507</v>
      </c>
      <c r="P31" s="49">
        <f>RevenueModule!P2*RevenueModule!P5*RevenueModule!P6</f>
        <v>1293.1584898923252</v>
      </c>
      <c r="Q31" s="49">
        <f>RevenueModule!Q2*RevenueModule!Q5*RevenueModule!Q6</f>
        <v>1306.0900747912485</v>
      </c>
      <c r="R31" s="49">
        <f>RevenueModule!R2*RevenueModule!R5*RevenueModule!R6</f>
        <v>1319.150975539161</v>
      </c>
      <c r="S31" s="49">
        <f>RevenueModule!S2*RevenueModule!S5*RevenueModule!S6</f>
        <v>1332.3424852945525</v>
      </c>
      <c r="T31" s="49">
        <f>RevenueModule!T2*RevenueModule!T5*RevenueModule!T6</f>
        <v>1345.6659101474982</v>
      </c>
      <c r="U31" s="49">
        <f>RevenueModule!U2*RevenueModule!U5*RevenueModule!U6</f>
        <v>1359.1225692489732</v>
      </c>
      <c r="V31" s="49">
        <f>RevenueModule!V2*RevenueModule!V5*RevenueModule!V6</f>
        <v>1372.713794941463</v>
      </c>
      <c r="W31" s="49">
        <f>RevenueModule!W2*RevenueModule!W5*RevenueModule!W6</f>
        <v>1386.4409328908778</v>
      </c>
      <c r="X31" s="49">
        <f>RevenueModule!X2*RevenueModule!X5*RevenueModule!X6</f>
        <v>1400.3053422197866</v>
      </c>
      <c r="Y31" s="49">
        <f>RevenueModule!Y2*RevenueModule!Y5*RevenueModule!Y6</f>
        <v>1414.3083956419844</v>
      </c>
      <c r="Z31" s="49">
        <f>RevenueModule!Z2*RevenueModule!Z5*RevenueModule!Z6</f>
        <v>1428.4514795984044</v>
      </c>
      <c r="AA31" s="49">
        <f>RevenueModule!AA2*RevenueModule!AA5*RevenueModule!AA6</f>
        <v>1442.7359943943884</v>
      </c>
      <c r="AB31" s="49">
        <f>RevenueModule!AB2*RevenueModule!AB5*RevenueModule!AB6</f>
        <v>1457.1633543383321</v>
      </c>
      <c r="AC31" s="49">
        <f>RevenueModule!AC2*RevenueModule!AC5*RevenueModule!AC6</f>
        <v>1471.7349878817154</v>
      </c>
      <c r="AD31" s="49">
        <f>RevenueModule!AD2*RevenueModule!AD5*RevenueModule!AD6</f>
        <v>1486.4523377605328</v>
      </c>
      <c r="AE31" s="49">
        <f>RevenueModule!AE2*RevenueModule!AE5*RevenueModule!AE6</f>
        <v>1501.3168611381382</v>
      </c>
      <c r="AF31" s="49">
        <f>RevenueModule!AF2*RevenueModule!AF5*RevenueModule!AF6</f>
        <v>1516.3300297495196</v>
      </c>
      <c r="AG31" s="49">
        <f>RevenueModule!AG2*RevenueModule!AG5*RevenueModule!AG6</f>
        <v>1531.4933300470148</v>
      </c>
      <c r="AH31" s="49">
        <f>RevenueModule!AH2*RevenueModule!AH5*RevenueModule!AH6</f>
        <v>1546.8082633474851</v>
      </c>
      <c r="AI31" s="49">
        <f>RevenueModule!AI2*RevenueModule!AI5*RevenueModule!AI6</f>
        <v>1562.2763459809598</v>
      </c>
      <c r="AJ31" s="49">
        <f>RevenueModule!AJ2*RevenueModule!AJ5*RevenueModule!AJ6</f>
        <v>1577.8991094407695</v>
      </c>
      <c r="AK31" s="49">
        <f>RevenueModule!AK2*RevenueModule!AK5*RevenueModule!AK6</f>
        <v>1593.6781005351772</v>
      </c>
    </row>
    <row r="33" spans="1:37" x14ac:dyDescent="0.2">
      <c r="A33" s="29" t="s">
        <v>153</v>
      </c>
      <c r="B33" s="42">
        <v>0.33</v>
      </c>
      <c r="C33" s="42">
        <v>0.33</v>
      </c>
      <c r="D33" s="42">
        <v>0.33</v>
      </c>
      <c r="E33" s="42">
        <v>0.33</v>
      </c>
      <c r="F33" s="42">
        <v>0.33</v>
      </c>
      <c r="G33" s="42">
        <v>0.33</v>
      </c>
      <c r="H33" s="42">
        <v>0.33</v>
      </c>
      <c r="I33" s="42">
        <v>0.33</v>
      </c>
      <c r="J33" s="42">
        <v>0.33</v>
      </c>
      <c r="K33" s="42">
        <v>0.33</v>
      </c>
      <c r="L33" s="42">
        <v>0.33</v>
      </c>
      <c r="M33" s="42">
        <v>0.33</v>
      </c>
      <c r="N33" s="42">
        <v>0.33</v>
      </c>
      <c r="O33" s="42">
        <v>0.33</v>
      </c>
      <c r="P33" s="42">
        <v>0.33</v>
      </c>
      <c r="Q33" s="42">
        <v>0.33</v>
      </c>
      <c r="R33" s="42">
        <v>0.33</v>
      </c>
      <c r="S33" s="42">
        <v>0.33</v>
      </c>
      <c r="T33" s="42">
        <v>0.33</v>
      </c>
      <c r="U33" s="42">
        <v>0.33</v>
      </c>
      <c r="V33" s="42">
        <v>0.33</v>
      </c>
      <c r="W33" s="42">
        <v>0.33</v>
      </c>
      <c r="X33" s="42">
        <v>0.33</v>
      </c>
      <c r="Y33" s="42">
        <v>0.33</v>
      </c>
      <c r="Z33" s="42">
        <v>0.33</v>
      </c>
      <c r="AA33" s="42">
        <v>0.33</v>
      </c>
      <c r="AB33" s="42">
        <v>0.33</v>
      </c>
      <c r="AC33" s="42">
        <v>0.33</v>
      </c>
      <c r="AD33" s="42">
        <v>0.33</v>
      </c>
      <c r="AE33" s="42">
        <v>0.33</v>
      </c>
      <c r="AF33" s="42">
        <v>0.33</v>
      </c>
      <c r="AG33" s="42">
        <v>0.33</v>
      </c>
      <c r="AH33" s="42">
        <v>0.33</v>
      </c>
      <c r="AI33" s="42">
        <v>0.33</v>
      </c>
      <c r="AJ33" s="42">
        <v>0.33</v>
      </c>
      <c r="AK33" s="42">
        <v>0.33</v>
      </c>
    </row>
    <row r="34" spans="1:37" x14ac:dyDescent="0.2">
      <c r="A34" s="29" t="s">
        <v>163</v>
      </c>
      <c r="B34" s="19">
        <f t="shared" ref="B34:AK34" si="0">B29*B33</f>
        <v>3.96</v>
      </c>
      <c r="C34" s="19">
        <f t="shared" si="0"/>
        <v>3.9996000000000005</v>
      </c>
      <c r="D34" s="19">
        <f t="shared" si="0"/>
        <v>4.0395960000000004</v>
      </c>
      <c r="E34" s="19">
        <f t="shared" si="0"/>
        <v>4.079991960000001</v>
      </c>
      <c r="F34" s="19">
        <f t="shared" si="0"/>
        <v>4.1207918796000005</v>
      </c>
      <c r="G34" s="19">
        <f t="shared" si="0"/>
        <v>4.1619997983960006</v>
      </c>
      <c r="H34" s="19">
        <f t="shared" si="0"/>
        <v>4.2036197963799609</v>
      </c>
      <c r="I34" s="19">
        <f t="shared" si="0"/>
        <v>4.2456559943437604</v>
      </c>
      <c r="J34" s="19">
        <f t="shared" si="0"/>
        <v>4.2881125542871983</v>
      </c>
      <c r="K34" s="19">
        <f t="shared" si="0"/>
        <v>4.3309936798300699</v>
      </c>
      <c r="L34" s="19">
        <f t="shared" si="0"/>
        <v>4.3743036166283709</v>
      </c>
      <c r="M34" s="19">
        <f t="shared" si="0"/>
        <v>4.4180466527946542</v>
      </c>
      <c r="N34" s="19">
        <f t="shared" si="0"/>
        <v>4.4622271193226011</v>
      </c>
      <c r="O34" s="19">
        <f t="shared" si="0"/>
        <v>4.5068493905158276</v>
      </c>
      <c r="P34" s="19">
        <f t="shared" si="0"/>
        <v>4.5519178844209849</v>
      </c>
      <c r="Q34" s="19">
        <f t="shared" si="0"/>
        <v>4.5974370632651951</v>
      </c>
      <c r="R34" s="19">
        <f t="shared" si="0"/>
        <v>4.6434114338978469</v>
      </c>
      <c r="S34" s="19">
        <f t="shared" si="0"/>
        <v>4.6898455482368258</v>
      </c>
      <c r="T34" s="19">
        <f t="shared" si="0"/>
        <v>4.7367440037191946</v>
      </c>
      <c r="U34" s="19">
        <f t="shared" si="0"/>
        <v>4.7841114437563856</v>
      </c>
      <c r="V34" s="19">
        <f t="shared" si="0"/>
        <v>4.83195255819395</v>
      </c>
      <c r="W34" s="19">
        <f t="shared" si="0"/>
        <v>4.8802720837758899</v>
      </c>
      <c r="X34" s="19">
        <f t="shared" si="0"/>
        <v>4.9290748046136486</v>
      </c>
      <c r="Y34" s="19">
        <f t="shared" si="0"/>
        <v>4.9783655526597856</v>
      </c>
      <c r="Z34" s="19">
        <f t="shared" si="0"/>
        <v>5.0281492081863828</v>
      </c>
      <c r="AA34" s="19">
        <f t="shared" si="0"/>
        <v>5.0784307002682469</v>
      </c>
      <c r="AB34" s="19">
        <f t="shared" si="0"/>
        <v>5.129215007270929</v>
      </c>
      <c r="AC34" s="19">
        <f t="shared" si="0"/>
        <v>5.1805071573436381</v>
      </c>
      <c r="AD34" s="19">
        <f t="shared" si="0"/>
        <v>5.2323122289170749</v>
      </c>
      <c r="AE34" s="19">
        <f t="shared" si="0"/>
        <v>5.2846353512062461</v>
      </c>
      <c r="AF34" s="19">
        <f t="shared" si="0"/>
        <v>5.3374817047183081</v>
      </c>
      <c r="AG34" s="19">
        <f t="shared" si="0"/>
        <v>5.3908565217654916</v>
      </c>
      <c r="AH34" s="19">
        <f t="shared" si="0"/>
        <v>5.4447650869831463</v>
      </c>
      <c r="AI34" s="19">
        <f t="shared" si="0"/>
        <v>5.4992127378529778</v>
      </c>
      <c r="AJ34" s="19">
        <f t="shared" si="0"/>
        <v>5.5542048652315081</v>
      </c>
      <c r="AK34" s="19">
        <f t="shared" si="0"/>
        <v>5.6097469138838241</v>
      </c>
    </row>
    <row r="36" spans="1:37" x14ac:dyDescent="0.2">
      <c r="A36" s="29" t="s">
        <v>154</v>
      </c>
      <c r="B36" s="42">
        <v>0.3</v>
      </c>
      <c r="C36" s="42">
        <v>0.3</v>
      </c>
      <c r="D36" s="42">
        <v>0.3</v>
      </c>
      <c r="E36" s="42">
        <v>0.3</v>
      </c>
      <c r="F36" s="42">
        <v>0.3</v>
      </c>
      <c r="G36" s="42">
        <v>0.3</v>
      </c>
      <c r="H36" s="42">
        <v>0.3</v>
      </c>
      <c r="I36" s="42">
        <v>0.3</v>
      </c>
      <c r="J36" s="42">
        <v>0.3</v>
      </c>
      <c r="K36" s="42">
        <v>0.3</v>
      </c>
      <c r="L36" s="42">
        <v>0.3</v>
      </c>
      <c r="M36" s="42">
        <v>0.3</v>
      </c>
      <c r="N36" s="42">
        <v>0.3</v>
      </c>
      <c r="O36" s="42">
        <v>0.3</v>
      </c>
      <c r="P36" s="42">
        <v>0.3</v>
      </c>
      <c r="Q36" s="42">
        <v>0.3</v>
      </c>
      <c r="R36" s="42">
        <v>0.3</v>
      </c>
      <c r="S36" s="42">
        <v>0.3</v>
      </c>
      <c r="T36" s="42">
        <v>0.3</v>
      </c>
      <c r="U36" s="42">
        <v>0.3</v>
      </c>
      <c r="V36" s="42">
        <v>0.3</v>
      </c>
      <c r="W36" s="42">
        <v>0.3</v>
      </c>
      <c r="X36" s="42">
        <v>0.3</v>
      </c>
      <c r="Y36" s="42">
        <v>0.3</v>
      </c>
      <c r="Z36" s="42">
        <v>0.3</v>
      </c>
      <c r="AA36" s="42">
        <v>0.3</v>
      </c>
      <c r="AB36" s="42">
        <v>0.3</v>
      </c>
      <c r="AC36" s="42">
        <v>0.3</v>
      </c>
      <c r="AD36" s="42">
        <v>0.3</v>
      </c>
      <c r="AE36" s="42">
        <v>0.3</v>
      </c>
      <c r="AF36" s="42">
        <v>0.3</v>
      </c>
      <c r="AG36" s="42">
        <v>0.3</v>
      </c>
      <c r="AH36" s="42">
        <v>0.3</v>
      </c>
      <c r="AI36" s="42">
        <v>0.3</v>
      </c>
      <c r="AJ36" s="42">
        <v>0.3</v>
      </c>
      <c r="AK36" s="42">
        <v>0.3</v>
      </c>
    </row>
    <row r="37" spans="1:37" x14ac:dyDescent="0.2">
      <c r="A37" s="29" t="s">
        <v>164</v>
      </c>
      <c r="B37" s="19">
        <f t="shared" ref="B37:AK37" si="1">B36*B29</f>
        <v>3.5999999999999996</v>
      </c>
      <c r="C37" s="19">
        <f t="shared" si="1"/>
        <v>3.6360000000000001</v>
      </c>
      <c r="D37" s="19">
        <f t="shared" si="1"/>
        <v>3.6723600000000003</v>
      </c>
      <c r="E37" s="19">
        <f t="shared" si="1"/>
        <v>3.7090836000000005</v>
      </c>
      <c r="F37" s="19">
        <f t="shared" si="1"/>
        <v>3.7461744360000004</v>
      </c>
      <c r="G37" s="19">
        <f t="shared" si="1"/>
        <v>3.7836361803600007</v>
      </c>
      <c r="H37" s="19">
        <f t="shared" si="1"/>
        <v>3.8214725421636007</v>
      </c>
      <c r="I37" s="19">
        <f t="shared" si="1"/>
        <v>3.8596872675852367</v>
      </c>
      <c r="J37" s="19">
        <f t="shared" si="1"/>
        <v>3.8982841402610888</v>
      </c>
      <c r="K37" s="19">
        <f t="shared" si="1"/>
        <v>3.9372669816636998</v>
      </c>
      <c r="L37" s="19">
        <f t="shared" si="1"/>
        <v>3.9766396514803368</v>
      </c>
      <c r="M37" s="19">
        <f t="shared" si="1"/>
        <v>4.0164060479951402</v>
      </c>
      <c r="N37" s="19">
        <f t="shared" si="1"/>
        <v>4.0565701084750918</v>
      </c>
      <c r="O37" s="19">
        <f t="shared" si="1"/>
        <v>4.0971358095598429</v>
      </c>
      <c r="P37" s="19">
        <f t="shared" si="1"/>
        <v>4.1381071676554404</v>
      </c>
      <c r="Q37" s="19">
        <f t="shared" si="1"/>
        <v>4.1794882393319952</v>
      </c>
      <c r="R37" s="19">
        <f t="shared" si="1"/>
        <v>4.2212831217253148</v>
      </c>
      <c r="S37" s="19">
        <f t="shared" si="1"/>
        <v>4.2634959529425682</v>
      </c>
      <c r="T37" s="19">
        <f t="shared" si="1"/>
        <v>4.3061309124719944</v>
      </c>
      <c r="U37" s="19">
        <f t="shared" si="1"/>
        <v>4.3491922215967138</v>
      </c>
      <c r="V37" s="19">
        <f t="shared" si="1"/>
        <v>4.3926841438126818</v>
      </c>
      <c r="W37" s="19">
        <f t="shared" si="1"/>
        <v>4.436610985250808</v>
      </c>
      <c r="X37" s="19">
        <f t="shared" si="1"/>
        <v>4.4809770951033165</v>
      </c>
      <c r="Y37" s="19">
        <f t="shared" si="1"/>
        <v>4.5257868660543501</v>
      </c>
      <c r="Z37" s="19">
        <f t="shared" si="1"/>
        <v>4.571044734714893</v>
      </c>
      <c r="AA37" s="19">
        <f t="shared" si="1"/>
        <v>4.6167551820620423</v>
      </c>
      <c r="AB37" s="19">
        <f t="shared" si="1"/>
        <v>4.6629227338826622</v>
      </c>
      <c r="AC37" s="19">
        <f t="shared" si="1"/>
        <v>4.7095519612214884</v>
      </c>
      <c r="AD37" s="19">
        <f t="shared" si="1"/>
        <v>4.7566474808337036</v>
      </c>
      <c r="AE37" s="19">
        <f t="shared" si="1"/>
        <v>4.8042139556420409</v>
      </c>
      <c r="AF37" s="19">
        <f t="shared" si="1"/>
        <v>4.8522560951984612</v>
      </c>
      <c r="AG37" s="19">
        <f t="shared" si="1"/>
        <v>4.9007786561504467</v>
      </c>
      <c r="AH37" s="19">
        <f t="shared" si="1"/>
        <v>4.9497864427119511</v>
      </c>
      <c r="AI37" s="19">
        <f t="shared" si="1"/>
        <v>4.9992843071390709</v>
      </c>
      <c r="AJ37" s="19">
        <f t="shared" si="1"/>
        <v>5.0492771502104619</v>
      </c>
      <c r="AK37" s="19">
        <f t="shared" si="1"/>
        <v>5.0997699217125669</v>
      </c>
    </row>
    <row r="40" spans="1:37" x14ac:dyDescent="0.2">
      <c r="B40">
        <v>1</v>
      </c>
      <c r="C40">
        <v>2</v>
      </c>
      <c r="D40">
        <v>3</v>
      </c>
      <c r="E40">
        <v>4</v>
      </c>
      <c r="F40">
        <v>5</v>
      </c>
      <c r="G40">
        <v>6</v>
      </c>
      <c r="H40">
        <v>7</v>
      </c>
      <c r="I40">
        <v>8</v>
      </c>
      <c r="J40">
        <v>9</v>
      </c>
      <c r="K40">
        <v>10</v>
      </c>
      <c r="L40">
        <v>11</v>
      </c>
      <c r="M40">
        <v>12</v>
      </c>
      <c r="N40">
        <v>13</v>
      </c>
      <c r="O40">
        <v>14</v>
      </c>
      <c r="P40">
        <v>15</v>
      </c>
      <c r="Q40">
        <v>16</v>
      </c>
      <c r="R40">
        <v>17</v>
      </c>
      <c r="S40">
        <v>18</v>
      </c>
      <c r="T40">
        <v>19</v>
      </c>
      <c r="U40">
        <v>20</v>
      </c>
      <c r="V40">
        <v>21</v>
      </c>
      <c r="W40">
        <v>22</v>
      </c>
      <c r="X40">
        <v>23</v>
      </c>
      <c r="Y40">
        <v>24</v>
      </c>
      <c r="Z40">
        <v>25</v>
      </c>
      <c r="AA40">
        <v>26</v>
      </c>
      <c r="AB40">
        <v>27</v>
      </c>
      <c r="AC40">
        <v>28</v>
      </c>
      <c r="AD40">
        <v>29</v>
      </c>
      <c r="AE40">
        <v>30</v>
      </c>
      <c r="AF40">
        <v>31</v>
      </c>
      <c r="AG40">
        <v>32</v>
      </c>
      <c r="AH40">
        <v>33</v>
      </c>
      <c r="AI40">
        <v>34</v>
      </c>
      <c r="AJ40">
        <v>35</v>
      </c>
      <c r="AK40">
        <v>36</v>
      </c>
    </row>
    <row r="41" spans="1:37" x14ac:dyDescent="0.2">
      <c r="A41" t="s">
        <v>18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</row>
    <row r="43" spans="1:37" x14ac:dyDescent="0.2">
      <c r="A43" t="s">
        <v>19</v>
      </c>
      <c r="B43">
        <v>1</v>
      </c>
      <c r="C43">
        <v>2</v>
      </c>
      <c r="D43">
        <v>3</v>
      </c>
      <c r="E43">
        <v>4</v>
      </c>
      <c r="F43">
        <v>5</v>
      </c>
      <c r="G43">
        <v>6</v>
      </c>
      <c r="H43">
        <v>7</v>
      </c>
      <c r="I43">
        <v>8</v>
      </c>
      <c r="J43">
        <v>9</v>
      </c>
      <c r="K43">
        <v>10</v>
      </c>
      <c r="L43">
        <v>11</v>
      </c>
      <c r="M43">
        <v>12</v>
      </c>
      <c r="N43">
        <v>13</v>
      </c>
      <c r="O43">
        <v>14</v>
      </c>
      <c r="P43">
        <v>15</v>
      </c>
      <c r="Q43">
        <v>16</v>
      </c>
      <c r="R43">
        <v>17</v>
      </c>
      <c r="S43">
        <v>18</v>
      </c>
      <c r="T43">
        <v>19</v>
      </c>
      <c r="U43">
        <v>20</v>
      </c>
      <c r="V43">
        <v>21</v>
      </c>
      <c r="W43">
        <v>22</v>
      </c>
      <c r="X43">
        <v>23</v>
      </c>
      <c r="Y43">
        <v>24</v>
      </c>
      <c r="Z43">
        <v>25</v>
      </c>
      <c r="AA43">
        <v>26</v>
      </c>
      <c r="AB43">
        <v>27</v>
      </c>
      <c r="AC43">
        <v>28</v>
      </c>
      <c r="AD43">
        <v>29</v>
      </c>
      <c r="AE43">
        <v>30</v>
      </c>
      <c r="AF43">
        <v>31</v>
      </c>
      <c r="AG43">
        <v>32</v>
      </c>
      <c r="AH43">
        <v>33</v>
      </c>
      <c r="AI43">
        <v>34</v>
      </c>
      <c r="AJ43">
        <v>35</v>
      </c>
      <c r="AK43">
        <v>36</v>
      </c>
    </row>
    <row r="44" spans="1:37" x14ac:dyDescent="0.2">
      <c r="A44" t="s">
        <v>20</v>
      </c>
      <c r="B44" s="19">
        <v>100</v>
      </c>
      <c r="C44" s="19">
        <v>100</v>
      </c>
      <c r="D44" s="19">
        <v>100</v>
      </c>
      <c r="E44" s="19">
        <v>100</v>
      </c>
      <c r="F44" s="19">
        <v>100</v>
      </c>
      <c r="G44" s="19">
        <v>100</v>
      </c>
      <c r="H44" s="19">
        <v>100</v>
      </c>
      <c r="I44" s="19">
        <v>100</v>
      </c>
      <c r="J44" s="19">
        <v>100</v>
      </c>
      <c r="K44" s="19">
        <v>100</v>
      </c>
      <c r="L44" s="19">
        <v>100</v>
      </c>
      <c r="M44" s="19">
        <v>100</v>
      </c>
      <c r="N44" s="19">
        <v>100</v>
      </c>
      <c r="O44" s="19">
        <v>100</v>
      </c>
      <c r="P44" s="19">
        <v>100</v>
      </c>
      <c r="Q44" s="19">
        <v>100</v>
      </c>
      <c r="R44" s="19">
        <v>100</v>
      </c>
      <c r="S44" s="19">
        <v>100</v>
      </c>
      <c r="T44" s="19">
        <v>100</v>
      </c>
      <c r="U44" s="19">
        <v>100</v>
      </c>
      <c r="V44" s="19">
        <v>100</v>
      </c>
      <c r="W44" s="19">
        <v>100</v>
      </c>
      <c r="X44" s="19">
        <v>100</v>
      </c>
      <c r="Y44" s="19">
        <v>100</v>
      </c>
      <c r="Z44" s="19">
        <v>100</v>
      </c>
      <c r="AA44" s="19">
        <v>100</v>
      </c>
      <c r="AB44" s="19">
        <v>100</v>
      </c>
      <c r="AC44" s="19">
        <v>100</v>
      </c>
      <c r="AD44" s="19">
        <v>100</v>
      </c>
      <c r="AE44" s="19">
        <v>100</v>
      </c>
      <c r="AF44" s="19">
        <v>100</v>
      </c>
      <c r="AG44" s="19">
        <v>100</v>
      </c>
      <c r="AH44" s="19">
        <v>100</v>
      </c>
      <c r="AI44" s="19">
        <v>100</v>
      </c>
      <c r="AJ44" s="19">
        <v>100</v>
      </c>
      <c r="AK44" s="19">
        <v>100</v>
      </c>
    </row>
    <row r="45" spans="1:37" x14ac:dyDescent="0.2">
      <c r="A45" t="s">
        <v>21</v>
      </c>
      <c r="B45" s="19">
        <v>200</v>
      </c>
      <c r="C45" s="3">
        <f t="shared" ref="C45:AK45" si="2">B45*(1+B46)</f>
        <v>210</v>
      </c>
      <c r="D45" s="3">
        <f t="shared" si="2"/>
        <v>220.5</v>
      </c>
      <c r="E45" s="3">
        <f t="shared" si="2"/>
        <v>231.52500000000001</v>
      </c>
      <c r="F45" s="3">
        <f t="shared" si="2"/>
        <v>243.10125000000002</v>
      </c>
      <c r="G45" s="3">
        <f t="shared" si="2"/>
        <v>255.25631250000004</v>
      </c>
      <c r="H45" s="3">
        <f t="shared" si="2"/>
        <v>268.01912812500007</v>
      </c>
      <c r="I45" s="3">
        <f t="shared" si="2"/>
        <v>281.4200845312501</v>
      </c>
      <c r="J45" s="3">
        <f t="shared" si="2"/>
        <v>295.49108875781263</v>
      </c>
      <c r="K45" s="3">
        <f t="shared" si="2"/>
        <v>310.26564319570326</v>
      </c>
      <c r="L45" s="3">
        <f t="shared" si="2"/>
        <v>325.77892535548841</v>
      </c>
      <c r="M45" s="3">
        <f t="shared" si="2"/>
        <v>342.06787162326287</v>
      </c>
      <c r="N45" s="3">
        <f t="shared" si="2"/>
        <v>359.17126520442605</v>
      </c>
      <c r="O45" s="3">
        <f t="shared" si="2"/>
        <v>377.12982846464735</v>
      </c>
      <c r="P45" s="3">
        <f t="shared" si="2"/>
        <v>395.98631988787974</v>
      </c>
      <c r="Q45" s="3">
        <f t="shared" si="2"/>
        <v>415.78563588227377</v>
      </c>
      <c r="R45" s="3">
        <f t="shared" si="2"/>
        <v>436.57491767638749</v>
      </c>
      <c r="S45" s="3">
        <f t="shared" si="2"/>
        <v>458.40366356020689</v>
      </c>
      <c r="T45" s="3">
        <f t="shared" si="2"/>
        <v>481.32384673821724</v>
      </c>
      <c r="U45" s="3">
        <f t="shared" si="2"/>
        <v>505.39003907512813</v>
      </c>
      <c r="V45" s="3">
        <f t="shared" si="2"/>
        <v>530.65954102888452</v>
      </c>
      <c r="W45" s="3">
        <f t="shared" si="2"/>
        <v>557.1925180803288</v>
      </c>
      <c r="X45" s="3">
        <f t="shared" si="2"/>
        <v>585.05214398434521</v>
      </c>
      <c r="Y45" s="3">
        <f t="shared" si="2"/>
        <v>614.30475118356253</v>
      </c>
      <c r="Z45" s="3">
        <f t="shared" si="2"/>
        <v>645.01998874274068</v>
      </c>
      <c r="AA45" s="3">
        <f t="shared" si="2"/>
        <v>677.27098817987769</v>
      </c>
      <c r="AB45" s="3">
        <f t="shared" si="2"/>
        <v>711.13453758887158</v>
      </c>
      <c r="AC45" s="3">
        <f t="shared" si="2"/>
        <v>746.69126446831524</v>
      </c>
      <c r="AD45" s="3">
        <f t="shared" si="2"/>
        <v>784.02582769173102</v>
      </c>
      <c r="AE45" s="3">
        <f t="shared" si="2"/>
        <v>823.22711907631765</v>
      </c>
      <c r="AF45" s="3">
        <f t="shared" si="2"/>
        <v>864.38847503013358</v>
      </c>
      <c r="AG45" s="3">
        <f t="shared" si="2"/>
        <v>907.6078987816403</v>
      </c>
      <c r="AH45" s="3">
        <f t="shared" si="2"/>
        <v>952.98829372072237</v>
      </c>
      <c r="AI45" s="3">
        <f t="shared" si="2"/>
        <v>1000.6377084067585</v>
      </c>
      <c r="AJ45" s="3">
        <f t="shared" si="2"/>
        <v>1050.6695938270964</v>
      </c>
      <c r="AK45" s="3">
        <f t="shared" si="2"/>
        <v>1103.2030735184512</v>
      </c>
    </row>
    <row r="46" spans="1:37" x14ac:dyDescent="0.2">
      <c r="A46" t="s">
        <v>22</v>
      </c>
      <c r="B46" s="18">
        <v>0.05</v>
      </c>
      <c r="C46" s="18">
        <v>0.05</v>
      </c>
      <c r="D46" s="18">
        <v>0.05</v>
      </c>
      <c r="E46" s="18">
        <v>0.05</v>
      </c>
      <c r="F46" s="18">
        <v>0.05</v>
      </c>
      <c r="G46" s="18">
        <v>0.05</v>
      </c>
      <c r="H46" s="18">
        <v>0.05</v>
      </c>
      <c r="I46" s="18">
        <v>0.05</v>
      </c>
      <c r="J46" s="18">
        <v>0.05</v>
      </c>
      <c r="K46" s="18">
        <v>0.05</v>
      </c>
      <c r="L46" s="18">
        <v>0.05</v>
      </c>
      <c r="M46" s="18">
        <v>0.05</v>
      </c>
      <c r="N46" s="18">
        <v>0.05</v>
      </c>
      <c r="O46" s="18">
        <v>0.05</v>
      </c>
      <c r="P46" s="18">
        <v>0.05</v>
      </c>
      <c r="Q46" s="18">
        <v>0.05</v>
      </c>
      <c r="R46" s="18">
        <v>0.05</v>
      </c>
      <c r="S46" s="18">
        <v>0.05</v>
      </c>
      <c r="T46" s="18">
        <v>0.05</v>
      </c>
      <c r="U46" s="18">
        <v>0.05</v>
      </c>
      <c r="V46" s="18">
        <v>0.05</v>
      </c>
      <c r="W46" s="18">
        <v>0.05</v>
      </c>
      <c r="X46" s="18">
        <v>0.05</v>
      </c>
      <c r="Y46" s="18">
        <v>0.05</v>
      </c>
      <c r="Z46" s="18">
        <v>0.05</v>
      </c>
      <c r="AA46" s="18">
        <v>0.05</v>
      </c>
      <c r="AB46" s="18">
        <v>0.05</v>
      </c>
      <c r="AC46" s="18">
        <v>0.05</v>
      </c>
      <c r="AD46" s="18">
        <v>0.05</v>
      </c>
      <c r="AE46" s="18">
        <v>0.05</v>
      </c>
      <c r="AF46" s="18">
        <v>0.05</v>
      </c>
      <c r="AG46" s="18">
        <v>0.05</v>
      </c>
      <c r="AH46" s="18">
        <v>0.05</v>
      </c>
      <c r="AI46" s="18">
        <v>0.05</v>
      </c>
      <c r="AJ46" s="18">
        <v>0.05</v>
      </c>
    </row>
    <row r="47" spans="1:37" x14ac:dyDescent="0.2">
      <c r="A47" s="29" t="s">
        <v>157</v>
      </c>
      <c r="B47" s="19">
        <v>2500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</row>
    <row r="48" spans="1:37" x14ac:dyDescent="0.2">
      <c r="A48" t="s">
        <v>24</v>
      </c>
      <c r="B48" s="19">
        <v>250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</row>
    <row r="49" spans="1:37" x14ac:dyDescent="0.2">
      <c r="A49" t="s">
        <v>25</v>
      </c>
      <c r="B49" s="19">
        <v>250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</row>
    <row r="50" spans="1:37" x14ac:dyDescent="0.2">
      <c r="A50" s="29" t="s">
        <v>159</v>
      </c>
      <c r="B50" s="19">
        <v>300</v>
      </c>
      <c r="C50" s="19">
        <v>300</v>
      </c>
      <c r="D50" s="19">
        <v>300</v>
      </c>
      <c r="E50" s="19">
        <v>300</v>
      </c>
      <c r="F50" s="19">
        <v>300</v>
      </c>
      <c r="G50" s="19">
        <v>300</v>
      </c>
      <c r="H50" s="19">
        <v>300</v>
      </c>
      <c r="I50" s="19">
        <v>300</v>
      </c>
      <c r="J50" s="19">
        <v>300</v>
      </c>
      <c r="K50" s="19">
        <v>300</v>
      </c>
      <c r="L50" s="19">
        <v>300</v>
      </c>
      <c r="M50" s="19">
        <v>300</v>
      </c>
      <c r="N50" s="19">
        <v>300</v>
      </c>
      <c r="O50" s="19">
        <v>300</v>
      </c>
      <c r="P50" s="19">
        <v>300</v>
      </c>
      <c r="Q50" s="19">
        <v>300</v>
      </c>
      <c r="R50" s="19">
        <v>300</v>
      </c>
      <c r="S50" s="19">
        <v>300</v>
      </c>
      <c r="T50" s="19">
        <v>300</v>
      </c>
      <c r="U50" s="19">
        <v>300</v>
      </c>
      <c r="V50" s="19">
        <v>300</v>
      </c>
      <c r="W50" s="19">
        <v>300</v>
      </c>
      <c r="X50" s="19">
        <v>300</v>
      </c>
      <c r="Y50" s="19">
        <v>300</v>
      </c>
      <c r="Z50" s="19">
        <v>300</v>
      </c>
      <c r="AA50" s="19">
        <v>300</v>
      </c>
      <c r="AB50" s="19">
        <v>300</v>
      </c>
      <c r="AC50" s="19">
        <v>300</v>
      </c>
      <c r="AD50" s="19">
        <v>300</v>
      </c>
      <c r="AE50" s="19">
        <v>300</v>
      </c>
      <c r="AF50" s="19">
        <v>300</v>
      </c>
      <c r="AG50" s="19">
        <v>300</v>
      </c>
      <c r="AH50" s="19">
        <v>300</v>
      </c>
      <c r="AI50" s="19">
        <v>300</v>
      </c>
      <c r="AJ50" s="19">
        <v>300</v>
      </c>
      <c r="AK50" s="19">
        <v>300</v>
      </c>
    </row>
    <row r="51" spans="1:37" x14ac:dyDescent="0.2">
      <c r="A51" s="29" t="s">
        <v>158</v>
      </c>
      <c r="B51" s="19">
        <f>B66*0.0275</f>
        <v>371.25</v>
      </c>
      <c r="C51" s="19">
        <f t="shared" ref="C51:AK51" si="3">C66*0.0275</f>
        <v>378.71212500000001</v>
      </c>
      <c r="D51" s="19">
        <f t="shared" si="3"/>
        <v>386.32423871250001</v>
      </c>
      <c r="E51" s="19">
        <f t="shared" si="3"/>
        <v>394.08935591062129</v>
      </c>
      <c r="F51" s="19">
        <f t="shared" si="3"/>
        <v>402.01055196442485</v>
      </c>
      <c r="G51" s="19">
        <f t="shared" si="3"/>
        <v>410.09096405890978</v>
      </c>
      <c r="H51" s="19">
        <f t="shared" si="3"/>
        <v>418.33379243649381</v>
      </c>
      <c r="I51" s="19">
        <f t="shared" si="3"/>
        <v>426.74230166446733</v>
      </c>
      <c r="J51" s="19">
        <f t="shared" si="3"/>
        <v>435.3198219279231</v>
      </c>
      <c r="K51" s="19">
        <f t="shared" si="3"/>
        <v>444.06975034867435</v>
      </c>
      <c r="L51" s="19">
        <f t="shared" si="3"/>
        <v>452.9955523306827</v>
      </c>
      <c r="M51" s="19">
        <f t="shared" si="3"/>
        <v>462.10076293252951</v>
      </c>
      <c r="N51" s="19">
        <f t="shared" si="3"/>
        <v>471.38898826747345</v>
      </c>
      <c r="O51" s="19">
        <f t="shared" si="3"/>
        <v>480.86390693164958</v>
      </c>
      <c r="P51" s="19">
        <f t="shared" si="3"/>
        <v>490.52927146097574</v>
      </c>
      <c r="Q51" s="19">
        <f t="shared" si="3"/>
        <v>500.38890981734136</v>
      </c>
      <c r="R51" s="19">
        <f t="shared" si="3"/>
        <v>510.4467269046699</v>
      </c>
      <c r="S51" s="19">
        <f t="shared" si="3"/>
        <v>520.70670611545381</v>
      </c>
      <c r="T51" s="19">
        <f t="shared" si="3"/>
        <v>531.17291090837443</v>
      </c>
      <c r="U51" s="19">
        <f t="shared" si="3"/>
        <v>541.84948641763276</v>
      </c>
      <c r="V51" s="19">
        <f t="shared" si="3"/>
        <v>552.74066109462728</v>
      </c>
      <c r="W51" s="19">
        <f t="shared" si="3"/>
        <v>563.85074838262926</v>
      </c>
      <c r="X51" s="19">
        <f t="shared" si="3"/>
        <v>575.18414842512027</v>
      </c>
      <c r="Y51" s="19">
        <f t="shared" si="3"/>
        <v>586.74534980846522</v>
      </c>
      <c r="Z51" s="19">
        <f t="shared" si="3"/>
        <v>598.53893133961537</v>
      </c>
      <c r="AA51" s="19">
        <f t="shared" si="3"/>
        <v>610.56956385954163</v>
      </c>
      <c r="AB51" s="19">
        <f t="shared" si="3"/>
        <v>622.84201209311823</v>
      </c>
      <c r="AC51" s="19">
        <f t="shared" si="3"/>
        <v>635.36113653618986</v>
      </c>
      <c r="AD51" s="19">
        <f t="shared" si="3"/>
        <v>648.13189538056736</v>
      </c>
      <c r="AE51" s="19">
        <f t="shared" si="3"/>
        <v>661.15934647771689</v>
      </c>
      <c r="AF51" s="19">
        <f t="shared" si="3"/>
        <v>674.44864934191901</v>
      </c>
      <c r="AG51" s="19">
        <f t="shared" si="3"/>
        <v>688.00506719369162</v>
      </c>
      <c r="AH51" s="19">
        <f t="shared" si="3"/>
        <v>701.83396904428491</v>
      </c>
      <c r="AI51" s="19">
        <f t="shared" si="3"/>
        <v>715.9408318220751</v>
      </c>
      <c r="AJ51" s="19">
        <f t="shared" si="3"/>
        <v>730.33124254169877</v>
      </c>
      <c r="AK51" s="19">
        <f t="shared" si="3"/>
        <v>745.01090051678705</v>
      </c>
    </row>
    <row r="52" spans="1:37" x14ac:dyDescent="0.2">
      <c r="A52" t="s">
        <v>28</v>
      </c>
      <c r="B52" s="19">
        <v>100</v>
      </c>
      <c r="C52" s="19">
        <v>100</v>
      </c>
      <c r="D52" s="19">
        <v>100</v>
      </c>
      <c r="E52" s="19">
        <v>100</v>
      </c>
      <c r="F52" s="19">
        <v>100</v>
      </c>
      <c r="G52" s="19">
        <v>100</v>
      </c>
      <c r="H52" s="19">
        <v>100</v>
      </c>
      <c r="I52" s="19">
        <v>100</v>
      </c>
      <c r="J52" s="19">
        <v>100</v>
      </c>
      <c r="K52" s="19">
        <v>100</v>
      </c>
      <c r="L52" s="19">
        <v>100</v>
      </c>
      <c r="M52" s="19">
        <v>100</v>
      </c>
      <c r="N52" s="19">
        <v>100</v>
      </c>
      <c r="O52" s="19">
        <v>100</v>
      </c>
      <c r="P52" s="19">
        <v>100</v>
      </c>
      <c r="Q52" s="19">
        <v>100</v>
      </c>
      <c r="R52" s="19">
        <v>100</v>
      </c>
      <c r="S52" s="19">
        <v>100</v>
      </c>
      <c r="T52" s="19">
        <v>100</v>
      </c>
      <c r="U52" s="19">
        <v>100</v>
      </c>
      <c r="V52" s="19">
        <v>100</v>
      </c>
      <c r="W52" s="19">
        <v>100</v>
      </c>
      <c r="X52" s="19">
        <v>100</v>
      </c>
      <c r="Y52" s="19">
        <v>100</v>
      </c>
      <c r="Z52" s="19">
        <v>100</v>
      </c>
      <c r="AA52" s="19">
        <v>100</v>
      </c>
      <c r="AB52" s="19">
        <v>100</v>
      </c>
      <c r="AC52" s="19">
        <v>100</v>
      </c>
      <c r="AD52" s="19">
        <v>100</v>
      </c>
      <c r="AE52" s="19">
        <v>100</v>
      </c>
      <c r="AF52" s="19">
        <v>100</v>
      </c>
      <c r="AG52" s="19">
        <v>100</v>
      </c>
      <c r="AH52" s="19">
        <v>100</v>
      </c>
      <c r="AI52" s="19">
        <v>100</v>
      </c>
      <c r="AJ52" s="19">
        <v>100</v>
      </c>
      <c r="AK52" s="19">
        <v>100</v>
      </c>
    </row>
    <row r="53" spans="1:37" x14ac:dyDescent="0.2">
      <c r="A53" s="29" t="s">
        <v>162</v>
      </c>
      <c r="B53" s="19">
        <v>100</v>
      </c>
      <c r="C53" s="19">
        <v>100</v>
      </c>
      <c r="D53" s="19">
        <v>100</v>
      </c>
      <c r="E53" s="19">
        <v>100</v>
      </c>
      <c r="F53" s="19">
        <v>100</v>
      </c>
      <c r="G53" s="19">
        <v>100</v>
      </c>
      <c r="H53" s="19">
        <v>100</v>
      </c>
      <c r="I53" s="19">
        <v>100</v>
      </c>
      <c r="J53" s="19">
        <v>100</v>
      </c>
      <c r="K53" s="19">
        <v>100</v>
      </c>
      <c r="L53" s="19">
        <v>100</v>
      </c>
      <c r="M53" s="19">
        <v>100</v>
      </c>
      <c r="N53" s="19">
        <v>100</v>
      </c>
      <c r="O53" s="19">
        <v>100</v>
      </c>
      <c r="P53" s="19">
        <v>100</v>
      </c>
      <c r="Q53" s="19">
        <v>100</v>
      </c>
      <c r="R53" s="19">
        <v>100</v>
      </c>
      <c r="S53" s="19">
        <v>100</v>
      </c>
      <c r="T53" s="19">
        <v>100</v>
      </c>
      <c r="U53" s="19">
        <v>100</v>
      </c>
      <c r="V53" s="19">
        <v>100</v>
      </c>
      <c r="W53" s="19">
        <v>100</v>
      </c>
      <c r="X53" s="19">
        <v>100</v>
      </c>
      <c r="Y53" s="19">
        <v>100</v>
      </c>
      <c r="Z53" s="19">
        <v>100</v>
      </c>
      <c r="AA53" s="19">
        <v>100</v>
      </c>
      <c r="AB53" s="19">
        <v>100</v>
      </c>
      <c r="AC53" s="19">
        <v>100</v>
      </c>
      <c r="AD53" s="19">
        <v>100</v>
      </c>
      <c r="AE53" s="19">
        <v>100</v>
      </c>
      <c r="AF53" s="19">
        <v>100</v>
      </c>
      <c r="AG53" s="19">
        <v>100</v>
      </c>
      <c r="AH53" s="19">
        <v>100</v>
      </c>
      <c r="AI53" s="19">
        <v>100</v>
      </c>
      <c r="AJ53" s="19">
        <v>100</v>
      </c>
      <c r="AK53" s="19">
        <v>100</v>
      </c>
    </row>
    <row r="54" spans="1:37" x14ac:dyDescent="0.2">
      <c r="A54" s="29" t="s">
        <v>161</v>
      </c>
      <c r="B54" s="19">
        <v>100</v>
      </c>
      <c r="C54" s="19">
        <v>100</v>
      </c>
      <c r="D54" s="19">
        <v>100</v>
      </c>
      <c r="E54" s="19">
        <v>100</v>
      </c>
      <c r="F54" s="19">
        <v>100</v>
      </c>
      <c r="G54" s="19">
        <v>100</v>
      </c>
      <c r="H54" s="19">
        <v>100</v>
      </c>
      <c r="I54" s="19">
        <v>100</v>
      </c>
      <c r="J54" s="19">
        <v>100</v>
      </c>
      <c r="K54" s="19">
        <v>100</v>
      </c>
      <c r="L54" s="19">
        <v>100</v>
      </c>
      <c r="M54" s="19">
        <v>100</v>
      </c>
      <c r="N54" s="19">
        <v>100</v>
      </c>
      <c r="O54" s="19">
        <v>100</v>
      </c>
      <c r="P54" s="19">
        <v>100</v>
      </c>
      <c r="Q54" s="19">
        <v>100</v>
      </c>
      <c r="R54" s="19">
        <v>100</v>
      </c>
      <c r="S54" s="19">
        <v>100</v>
      </c>
      <c r="T54" s="19">
        <v>100</v>
      </c>
      <c r="U54" s="19">
        <v>100</v>
      </c>
      <c r="V54" s="19">
        <v>100</v>
      </c>
      <c r="W54" s="19">
        <v>100</v>
      </c>
      <c r="X54" s="19">
        <v>100</v>
      </c>
      <c r="Y54" s="19">
        <v>100</v>
      </c>
      <c r="Z54" s="19">
        <v>100</v>
      </c>
      <c r="AA54" s="19">
        <v>100</v>
      </c>
      <c r="AB54" s="19">
        <v>100</v>
      </c>
      <c r="AC54" s="19">
        <v>100</v>
      </c>
      <c r="AD54" s="19">
        <v>100</v>
      </c>
      <c r="AE54" s="19">
        <v>100</v>
      </c>
      <c r="AF54" s="19">
        <v>100</v>
      </c>
      <c r="AG54" s="19">
        <v>100</v>
      </c>
      <c r="AH54" s="19">
        <v>100</v>
      </c>
      <c r="AI54" s="19">
        <v>100</v>
      </c>
      <c r="AJ54" s="19">
        <v>100</v>
      </c>
      <c r="AK54" s="19">
        <v>100</v>
      </c>
    </row>
    <row r="55" spans="1:37" x14ac:dyDescent="0.2">
      <c r="A55" t="s">
        <v>31</v>
      </c>
      <c r="B55" s="19">
        <v>100</v>
      </c>
      <c r="C55" s="19">
        <v>100</v>
      </c>
      <c r="D55" s="19">
        <v>100</v>
      </c>
      <c r="E55" s="19">
        <v>100</v>
      </c>
      <c r="F55" s="19">
        <v>100</v>
      </c>
      <c r="G55" s="19">
        <v>100</v>
      </c>
      <c r="H55" s="19">
        <v>100</v>
      </c>
      <c r="I55" s="19">
        <v>100</v>
      </c>
      <c r="J55" s="19">
        <v>100</v>
      </c>
      <c r="K55" s="19">
        <v>100</v>
      </c>
      <c r="L55" s="19">
        <v>100</v>
      </c>
      <c r="M55" s="19">
        <v>100</v>
      </c>
      <c r="N55" s="19">
        <v>100</v>
      </c>
      <c r="O55" s="19">
        <v>100</v>
      </c>
      <c r="P55" s="19">
        <v>100</v>
      </c>
      <c r="Q55" s="19">
        <v>100</v>
      </c>
      <c r="R55" s="19">
        <v>100</v>
      </c>
      <c r="S55" s="19">
        <v>100</v>
      </c>
      <c r="T55" s="19">
        <v>100</v>
      </c>
      <c r="U55" s="19">
        <v>100</v>
      </c>
      <c r="V55" s="19">
        <v>100</v>
      </c>
      <c r="W55" s="19">
        <v>100</v>
      </c>
      <c r="X55" s="19">
        <v>100</v>
      </c>
      <c r="Y55" s="19">
        <v>100</v>
      </c>
      <c r="Z55" s="19">
        <v>100</v>
      </c>
      <c r="AA55" s="19">
        <v>100</v>
      </c>
      <c r="AB55" s="19">
        <v>100</v>
      </c>
      <c r="AC55" s="19">
        <v>100</v>
      </c>
      <c r="AD55" s="19">
        <v>100</v>
      </c>
      <c r="AE55" s="19">
        <v>100</v>
      </c>
      <c r="AF55" s="19">
        <v>100</v>
      </c>
      <c r="AG55" s="19">
        <v>100</v>
      </c>
      <c r="AH55" s="19">
        <v>100</v>
      </c>
      <c r="AI55" s="19">
        <v>100</v>
      </c>
      <c r="AJ55" s="19">
        <v>100</v>
      </c>
      <c r="AK55" s="19">
        <v>100</v>
      </c>
    </row>
    <row r="56" spans="1:37" x14ac:dyDescent="0.2">
      <c r="A56" t="s">
        <v>32</v>
      </c>
      <c r="B56" s="19">
        <v>100</v>
      </c>
      <c r="C56" s="19">
        <v>100</v>
      </c>
      <c r="D56" s="19">
        <v>100</v>
      </c>
      <c r="E56" s="19">
        <v>100</v>
      </c>
      <c r="F56" s="19">
        <v>100</v>
      </c>
      <c r="G56" s="19">
        <v>100</v>
      </c>
      <c r="H56" s="19">
        <v>100</v>
      </c>
      <c r="I56" s="19">
        <v>100</v>
      </c>
      <c r="J56" s="19">
        <v>100</v>
      </c>
      <c r="K56" s="19">
        <v>100</v>
      </c>
      <c r="L56" s="19">
        <v>100</v>
      </c>
      <c r="M56" s="19">
        <v>100</v>
      </c>
      <c r="N56" s="19">
        <v>100</v>
      </c>
      <c r="O56" s="19">
        <v>100</v>
      </c>
      <c r="P56" s="19">
        <v>100</v>
      </c>
      <c r="Q56" s="19">
        <v>100</v>
      </c>
      <c r="R56" s="19">
        <v>100</v>
      </c>
      <c r="S56" s="19">
        <v>100</v>
      </c>
      <c r="T56" s="19">
        <v>100</v>
      </c>
      <c r="U56" s="19">
        <v>100</v>
      </c>
      <c r="V56" s="19">
        <v>100</v>
      </c>
      <c r="W56" s="19">
        <v>100</v>
      </c>
      <c r="X56" s="19">
        <v>100</v>
      </c>
      <c r="Y56" s="19">
        <v>100</v>
      </c>
      <c r="Z56" s="19">
        <v>100</v>
      </c>
      <c r="AA56" s="19">
        <v>100</v>
      </c>
      <c r="AB56" s="19">
        <v>100</v>
      </c>
      <c r="AC56" s="19">
        <v>100</v>
      </c>
      <c r="AD56" s="19">
        <v>100</v>
      </c>
      <c r="AE56" s="19">
        <v>100</v>
      </c>
      <c r="AF56" s="19">
        <v>100</v>
      </c>
      <c r="AG56" s="19">
        <v>100</v>
      </c>
      <c r="AH56" s="19">
        <v>100</v>
      </c>
      <c r="AI56" s="19">
        <v>100</v>
      </c>
      <c r="AJ56" s="19">
        <v>100</v>
      </c>
      <c r="AK56" s="19">
        <v>100</v>
      </c>
    </row>
    <row r="57" spans="1:37" x14ac:dyDescent="0.2">
      <c r="A57" s="29" t="s">
        <v>160</v>
      </c>
      <c r="B57" s="19">
        <v>100</v>
      </c>
      <c r="C57" s="19">
        <v>100</v>
      </c>
      <c r="D57" s="19">
        <v>100</v>
      </c>
      <c r="E57" s="19">
        <v>100</v>
      </c>
      <c r="F57" s="19">
        <v>100</v>
      </c>
      <c r="G57" s="19">
        <v>100</v>
      </c>
      <c r="H57" s="19">
        <v>100</v>
      </c>
      <c r="I57" s="19">
        <v>100</v>
      </c>
      <c r="J57" s="19">
        <v>100</v>
      </c>
      <c r="K57" s="19">
        <v>100</v>
      </c>
      <c r="L57" s="19">
        <v>100</v>
      </c>
      <c r="M57" s="19">
        <v>100</v>
      </c>
      <c r="N57" s="19">
        <v>100</v>
      </c>
      <c r="O57" s="19">
        <v>100</v>
      </c>
      <c r="P57" s="19">
        <v>100</v>
      </c>
      <c r="Q57" s="19">
        <v>100</v>
      </c>
      <c r="R57" s="19">
        <v>100</v>
      </c>
      <c r="S57" s="19">
        <v>100</v>
      </c>
      <c r="T57" s="19">
        <v>100</v>
      </c>
      <c r="U57" s="19">
        <v>100</v>
      </c>
      <c r="V57" s="19">
        <v>100</v>
      </c>
      <c r="W57" s="19">
        <v>100</v>
      </c>
      <c r="X57" s="19">
        <v>100</v>
      </c>
      <c r="Y57" s="19">
        <v>100</v>
      </c>
      <c r="Z57" s="19">
        <v>100</v>
      </c>
      <c r="AA57" s="19">
        <v>100</v>
      </c>
      <c r="AB57" s="19">
        <v>100</v>
      </c>
      <c r="AC57" s="19">
        <v>100</v>
      </c>
      <c r="AD57" s="19">
        <v>100</v>
      </c>
      <c r="AE57" s="19">
        <v>100</v>
      </c>
      <c r="AF57" s="19">
        <v>100</v>
      </c>
      <c r="AG57" s="19">
        <v>100</v>
      </c>
      <c r="AH57" s="19">
        <v>100</v>
      </c>
      <c r="AI57" s="19">
        <v>100</v>
      </c>
      <c r="AJ57" s="19">
        <v>100</v>
      </c>
      <c r="AK57" s="19">
        <v>100</v>
      </c>
    </row>
    <row r="58" spans="1:37" x14ac:dyDescent="0.2">
      <c r="A58" t="s">
        <v>34</v>
      </c>
      <c r="B58" s="19">
        <v>50</v>
      </c>
      <c r="C58" s="19">
        <v>50</v>
      </c>
      <c r="D58" s="19">
        <v>50</v>
      </c>
      <c r="E58" s="19">
        <v>50</v>
      </c>
      <c r="F58" s="19">
        <v>50</v>
      </c>
      <c r="G58" s="19">
        <v>50</v>
      </c>
      <c r="H58" s="19">
        <v>50</v>
      </c>
      <c r="I58" s="19">
        <v>50</v>
      </c>
      <c r="J58" s="19">
        <v>50</v>
      </c>
      <c r="K58" s="19">
        <v>50</v>
      </c>
      <c r="L58" s="19">
        <v>50</v>
      </c>
      <c r="M58" s="19">
        <v>50</v>
      </c>
      <c r="N58" s="19">
        <v>50</v>
      </c>
      <c r="O58" s="19">
        <v>50</v>
      </c>
      <c r="P58" s="19">
        <v>50</v>
      </c>
      <c r="Q58" s="19">
        <v>50</v>
      </c>
      <c r="R58" s="19">
        <v>50</v>
      </c>
      <c r="S58" s="19">
        <v>50</v>
      </c>
      <c r="T58" s="19">
        <v>50</v>
      </c>
      <c r="U58" s="19">
        <v>50</v>
      </c>
      <c r="V58" s="19">
        <v>50</v>
      </c>
      <c r="W58" s="19">
        <v>50</v>
      </c>
      <c r="X58" s="19">
        <v>50</v>
      </c>
      <c r="Y58" s="19">
        <v>50</v>
      </c>
      <c r="Z58" s="19">
        <v>50</v>
      </c>
      <c r="AA58" s="19">
        <v>50</v>
      </c>
      <c r="AB58" s="19">
        <v>50</v>
      </c>
      <c r="AC58" s="19">
        <v>50</v>
      </c>
      <c r="AD58" s="19">
        <v>50</v>
      </c>
      <c r="AE58" s="19">
        <v>50</v>
      </c>
      <c r="AF58" s="19">
        <v>50</v>
      </c>
      <c r="AG58" s="19">
        <v>50</v>
      </c>
      <c r="AH58" s="19">
        <v>50</v>
      </c>
      <c r="AI58" s="19">
        <v>50</v>
      </c>
      <c r="AJ58" s="19">
        <v>50</v>
      </c>
      <c r="AK58" s="19">
        <v>50</v>
      </c>
    </row>
    <row r="59" spans="1:37" x14ac:dyDescent="0.2">
      <c r="A59" t="s">
        <v>35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</row>
    <row r="61" spans="1:37" x14ac:dyDescent="0.2">
      <c r="A61" t="s">
        <v>36</v>
      </c>
      <c r="B61" s="18">
        <v>0</v>
      </c>
    </row>
    <row r="62" spans="1:37" x14ac:dyDescent="0.2">
      <c r="A62" t="s">
        <v>37</v>
      </c>
      <c r="B62" s="18">
        <v>0</v>
      </c>
    </row>
    <row r="63" spans="1:37" x14ac:dyDescent="0.2">
      <c r="A63" t="s">
        <v>38</v>
      </c>
      <c r="B63" s="20">
        <v>0</v>
      </c>
    </row>
    <row r="65" spans="1:37" x14ac:dyDescent="0.2">
      <c r="B65">
        <v>1</v>
      </c>
      <c r="C65">
        <v>2</v>
      </c>
      <c r="D65">
        <v>3</v>
      </c>
      <c r="E65">
        <v>4</v>
      </c>
      <c r="F65">
        <v>5</v>
      </c>
      <c r="G65">
        <v>6</v>
      </c>
      <c r="H65">
        <v>7</v>
      </c>
      <c r="I65">
        <v>8</v>
      </c>
      <c r="J65">
        <v>9</v>
      </c>
      <c r="K65">
        <v>10</v>
      </c>
      <c r="L65">
        <v>11</v>
      </c>
      <c r="M65">
        <v>12</v>
      </c>
      <c r="N65">
        <v>13</v>
      </c>
      <c r="O65">
        <v>14</v>
      </c>
      <c r="P65">
        <v>15</v>
      </c>
      <c r="Q65">
        <v>16</v>
      </c>
      <c r="R65">
        <v>17</v>
      </c>
      <c r="S65">
        <v>18</v>
      </c>
      <c r="T65">
        <v>19</v>
      </c>
      <c r="U65">
        <v>20</v>
      </c>
      <c r="V65">
        <v>21</v>
      </c>
      <c r="W65">
        <v>22</v>
      </c>
      <c r="X65">
        <v>23</v>
      </c>
      <c r="Y65">
        <v>24</v>
      </c>
      <c r="Z65">
        <v>25</v>
      </c>
      <c r="AA65">
        <v>26</v>
      </c>
      <c r="AB65">
        <v>27</v>
      </c>
      <c r="AC65">
        <v>28</v>
      </c>
      <c r="AD65">
        <v>29</v>
      </c>
      <c r="AE65">
        <v>30</v>
      </c>
      <c r="AF65">
        <v>31</v>
      </c>
      <c r="AG65">
        <v>32</v>
      </c>
      <c r="AH65">
        <v>33</v>
      </c>
      <c r="AI65">
        <v>34</v>
      </c>
      <c r="AJ65">
        <v>35</v>
      </c>
      <c r="AK65">
        <v>36</v>
      </c>
    </row>
    <row r="66" spans="1:37" x14ac:dyDescent="0.2">
      <c r="A66" t="s">
        <v>39</v>
      </c>
      <c r="B66" s="3">
        <f t="shared" ref="B66:AK66" si="4">(B29*B31)</f>
        <v>13500</v>
      </c>
      <c r="C66" s="3">
        <f t="shared" si="4"/>
        <v>13771.35</v>
      </c>
      <c r="D66" s="3">
        <f t="shared" si="4"/>
        <v>14048.154135000001</v>
      </c>
      <c r="E66" s="3">
        <f t="shared" si="4"/>
        <v>14330.522033113501</v>
      </c>
      <c r="F66" s="3">
        <f t="shared" si="4"/>
        <v>14618.565525979086</v>
      </c>
      <c r="G66" s="3">
        <f t="shared" si="4"/>
        <v>14912.398693051264</v>
      </c>
      <c r="H66" s="3">
        <f t="shared" si="4"/>
        <v>15212.137906781592</v>
      </c>
      <c r="I66" s="3">
        <f t="shared" si="4"/>
        <v>15517.901878707902</v>
      </c>
      <c r="J66" s="3">
        <f t="shared" si="4"/>
        <v>15829.811706469931</v>
      </c>
      <c r="K66" s="3">
        <f t="shared" si="4"/>
        <v>16147.990921769977</v>
      </c>
      <c r="L66" s="3">
        <f t="shared" si="4"/>
        <v>16472.565539297553</v>
      </c>
      <c r="M66" s="3">
        <f t="shared" si="4"/>
        <v>16803.664106637436</v>
      </c>
      <c r="N66" s="3">
        <f t="shared" si="4"/>
        <v>17141.417755180853</v>
      </c>
      <c r="O66" s="3">
        <f t="shared" si="4"/>
        <v>17485.960252059984</v>
      </c>
      <c r="P66" s="3">
        <f t="shared" si="4"/>
        <v>17837.42805312639</v>
      </c>
      <c r="Q66" s="3">
        <f t="shared" si="4"/>
        <v>18195.96035699423</v>
      </c>
      <c r="R66" s="3">
        <f t="shared" si="4"/>
        <v>18561.699160169814</v>
      </c>
      <c r="S66" s="3">
        <f t="shared" si="4"/>
        <v>18934.789313289228</v>
      </c>
      <c r="T66" s="3">
        <f t="shared" si="4"/>
        <v>19315.378578486343</v>
      </c>
      <c r="U66" s="3">
        <f t="shared" si="4"/>
        <v>19703.61768791392</v>
      </c>
      <c r="V66" s="3">
        <f t="shared" si="4"/>
        <v>20099.66040344099</v>
      </c>
      <c r="W66" s="3">
        <f t="shared" si="4"/>
        <v>20503.663577550156</v>
      </c>
      <c r="X66" s="3">
        <f t="shared" si="4"/>
        <v>20915.787215458917</v>
      </c>
      <c r="Y66" s="3">
        <f t="shared" si="4"/>
        <v>21336.194538489643</v>
      </c>
      <c r="Z66" s="3">
        <f t="shared" si="4"/>
        <v>21765.052048713285</v>
      </c>
      <c r="AA66" s="3">
        <f t="shared" si="4"/>
        <v>22202.529594892421</v>
      </c>
      <c r="AB66" s="3">
        <f t="shared" si="4"/>
        <v>22648.800439749753</v>
      </c>
      <c r="AC66" s="3">
        <f t="shared" si="4"/>
        <v>23104.041328588723</v>
      </c>
      <c r="AD66" s="3">
        <f t="shared" si="4"/>
        <v>23568.43255929336</v>
      </c>
      <c r="AE66" s="3">
        <f t="shared" si="4"/>
        <v>24042.158053735158</v>
      </c>
      <c r="AF66" s="3">
        <f t="shared" si="4"/>
        <v>24525.405430615236</v>
      </c>
      <c r="AG66" s="3">
        <f t="shared" si="4"/>
        <v>25018.366079770603</v>
      </c>
      <c r="AH66" s="3">
        <f t="shared" si="4"/>
        <v>25521.235237973997</v>
      </c>
      <c r="AI66" s="3">
        <f t="shared" si="4"/>
        <v>26034.212066257274</v>
      </c>
      <c r="AJ66" s="3">
        <f t="shared" si="4"/>
        <v>26557.499728789047</v>
      </c>
      <c r="AK66" s="3">
        <f t="shared" si="4"/>
        <v>27091.30547333771</v>
      </c>
    </row>
    <row r="67" spans="1:37" x14ac:dyDescent="0.2">
      <c r="A67" t="s">
        <v>40</v>
      </c>
      <c r="B67" s="3">
        <f t="shared" ref="B67:AK67" si="5">(B37*B31)</f>
        <v>4049.9999999999995</v>
      </c>
      <c r="C67" s="3">
        <f t="shared" si="5"/>
        <v>4131.4049999999997</v>
      </c>
      <c r="D67" s="3">
        <f t="shared" si="5"/>
        <v>4214.4462405000004</v>
      </c>
      <c r="E67" s="3">
        <f t="shared" si="5"/>
        <v>4299.1566099340498</v>
      </c>
      <c r="F67" s="3">
        <f t="shared" si="5"/>
        <v>4385.5696577937251</v>
      </c>
      <c r="G67" s="3">
        <f t="shared" si="5"/>
        <v>4473.7196079153791</v>
      </c>
      <c r="H67" s="3">
        <f t="shared" si="5"/>
        <v>4563.6413720344772</v>
      </c>
      <c r="I67" s="3">
        <f t="shared" si="5"/>
        <v>4655.3705636123705</v>
      </c>
      <c r="J67" s="3">
        <f t="shared" si="5"/>
        <v>4748.9435119409791</v>
      </c>
      <c r="K67" s="3">
        <f t="shared" si="5"/>
        <v>4844.3972765309927</v>
      </c>
      <c r="L67" s="3">
        <f t="shared" si="5"/>
        <v>4941.7696617892661</v>
      </c>
      <c r="M67" s="3">
        <f t="shared" si="5"/>
        <v>5041.0992319912311</v>
      </c>
      <c r="N67" s="3">
        <f t="shared" si="5"/>
        <v>5142.4253265542557</v>
      </c>
      <c r="O67" s="3">
        <f t="shared" si="5"/>
        <v>5245.7880756179957</v>
      </c>
      <c r="P67" s="3">
        <f t="shared" si="5"/>
        <v>5351.228415937916</v>
      </c>
      <c r="Q67" s="3">
        <f t="shared" si="5"/>
        <v>5458.7881070982694</v>
      </c>
      <c r="R67" s="3">
        <f t="shared" si="5"/>
        <v>5568.5097480509439</v>
      </c>
      <c r="S67" s="3">
        <f t="shared" si="5"/>
        <v>5680.436793986768</v>
      </c>
      <c r="T67" s="3">
        <f t="shared" si="5"/>
        <v>5794.6135735459029</v>
      </c>
      <c r="U67" s="3">
        <f t="shared" si="5"/>
        <v>5911.0853063741752</v>
      </c>
      <c r="V67" s="3">
        <f t="shared" si="5"/>
        <v>6029.8981210322972</v>
      </c>
      <c r="W67" s="3">
        <f t="shared" si="5"/>
        <v>6151.0990732650462</v>
      </c>
      <c r="X67" s="3">
        <f t="shared" si="5"/>
        <v>6274.7361646376748</v>
      </c>
      <c r="Y67" s="3">
        <f t="shared" si="5"/>
        <v>6400.8583615468924</v>
      </c>
      <c r="Z67" s="3">
        <f t="shared" si="5"/>
        <v>6529.5156146139843</v>
      </c>
      <c r="AA67" s="3">
        <f t="shared" si="5"/>
        <v>6660.7588784677264</v>
      </c>
      <c r="AB67" s="3">
        <f t="shared" si="5"/>
        <v>6794.6401319249253</v>
      </c>
      <c r="AC67" s="3">
        <f t="shared" si="5"/>
        <v>6931.2123985766166</v>
      </c>
      <c r="AD67" s="3">
        <f t="shared" si="5"/>
        <v>7070.529767788008</v>
      </c>
      <c r="AE67" s="3">
        <f t="shared" si="5"/>
        <v>7212.6474161205469</v>
      </c>
      <c r="AF67" s="3">
        <f t="shared" si="5"/>
        <v>7357.6216291845703</v>
      </c>
      <c r="AG67" s="3">
        <f t="shared" si="5"/>
        <v>7505.5098239311819</v>
      </c>
      <c r="AH67" s="3">
        <f t="shared" si="5"/>
        <v>7656.3705713921991</v>
      </c>
      <c r="AI67" s="3">
        <f t="shared" si="5"/>
        <v>7810.2636198771825</v>
      </c>
      <c r="AJ67" s="3">
        <f t="shared" si="5"/>
        <v>7967.249918636714</v>
      </c>
      <c r="AK67" s="3">
        <f t="shared" si="5"/>
        <v>8127.3916420013129</v>
      </c>
    </row>
    <row r="68" spans="1:37" x14ac:dyDescent="0.2">
      <c r="A68" t="s">
        <v>41</v>
      </c>
      <c r="B68" s="3">
        <f t="shared" ref="B68:AK68" si="6">(B34*B31)</f>
        <v>4455</v>
      </c>
      <c r="C68" s="3">
        <f t="shared" si="6"/>
        <v>4544.5455000000002</v>
      </c>
      <c r="D68" s="3">
        <f t="shared" si="6"/>
        <v>4635.8908645500005</v>
      </c>
      <c r="E68" s="3">
        <f t="shared" si="6"/>
        <v>4729.072270927456</v>
      </c>
      <c r="F68" s="3">
        <f t="shared" si="6"/>
        <v>4824.1266235730982</v>
      </c>
      <c r="G68" s="3">
        <f t="shared" si="6"/>
        <v>4921.0915687069164</v>
      </c>
      <c r="H68" s="3">
        <f t="shared" si="6"/>
        <v>5020.0055092379253</v>
      </c>
      <c r="I68" s="3">
        <f t="shared" si="6"/>
        <v>5120.9076199736073</v>
      </c>
      <c r="J68" s="3">
        <f t="shared" si="6"/>
        <v>5223.8378631350779</v>
      </c>
      <c r="K68" s="3">
        <f t="shared" si="6"/>
        <v>5328.8370041840926</v>
      </c>
      <c r="L68" s="3">
        <f t="shared" si="6"/>
        <v>5435.9466279681928</v>
      </c>
      <c r="M68" s="3">
        <f t="shared" si="6"/>
        <v>5545.2091551903541</v>
      </c>
      <c r="N68" s="3">
        <f t="shared" si="6"/>
        <v>5656.6678592096814</v>
      </c>
      <c r="O68" s="3">
        <f t="shared" si="6"/>
        <v>5770.3668831797959</v>
      </c>
      <c r="P68" s="3">
        <f t="shared" si="6"/>
        <v>5886.3512575317081</v>
      </c>
      <c r="Q68" s="3">
        <f t="shared" si="6"/>
        <v>6004.6669178080965</v>
      </c>
      <c r="R68" s="3">
        <f t="shared" si="6"/>
        <v>6125.3607228560395</v>
      </c>
      <c r="S68" s="3">
        <f t="shared" si="6"/>
        <v>6248.4804733854453</v>
      </c>
      <c r="T68" s="3">
        <f t="shared" si="6"/>
        <v>6374.0749309004941</v>
      </c>
      <c r="U68" s="3">
        <f t="shared" si="6"/>
        <v>6502.1938370115931</v>
      </c>
      <c r="V68" s="3">
        <f t="shared" si="6"/>
        <v>6632.8879331355274</v>
      </c>
      <c r="W68" s="3">
        <f t="shared" si="6"/>
        <v>6766.208980591553</v>
      </c>
      <c r="X68" s="3">
        <f t="shared" si="6"/>
        <v>6902.2097811014428</v>
      </c>
      <c r="Y68" s="3">
        <f t="shared" si="6"/>
        <v>7040.9441977015822</v>
      </c>
      <c r="Z68" s="3">
        <f t="shared" si="6"/>
        <v>7182.4671760753836</v>
      </c>
      <c r="AA68" s="3">
        <f t="shared" si="6"/>
        <v>7326.8347663144996</v>
      </c>
      <c r="AB68" s="3">
        <f t="shared" si="6"/>
        <v>7474.1041451174196</v>
      </c>
      <c r="AC68" s="3">
        <f t="shared" si="6"/>
        <v>7624.3336384342792</v>
      </c>
      <c r="AD68" s="3">
        <f t="shared" si="6"/>
        <v>7777.5827445668101</v>
      </c>
      <c r="AE68" s="3">
        <f t="shared" si="6"/>
        <v>7933.9121577326041</v>
      </c>
      <c r="AF68" s="3">
        <f t="shared" si="6"/>
        <v>8093.3837921030281</v>
      </c>
      <c r="AG68" s="3">
        <f t="shared" si="6"/>
        <v>8256.0608063242998</v>
      </c>
      <c r="AH68" s="3">
        <f t="shared" si="6"/>
        <v>8422.007628531419</v>
      </c>
      <c r="AI68" s="3">
        <f t="shared" si="6"/>
        <v>8591.2899818649003</v>
      </c>
      <c r="AJ68" s="3">
        <f t="shared" si="6"/>
        <v>8763.9749105003866</v>
      </c>
      <c r="AK68" s="3">
        <f t="shared" si="6"/>
        <v>8940.130806201445</v>
      </c>
    </row>
    <row r="69" spans="1:37" x14ac:dyDescent="0.2">
      <c r="A69" t="s">
        <v>42</v>
      </c>
      <c r="B69" s="3">
        <f t="shared" ref="B69:AK69" si="7">B67+B68</f>
        <v>8505</v>
      </c>
      <c r="C69" s="3">
        <f t="shared" si="7"/>
        <v>8675.950499999999</v>
      </c>
      <c r="D69" s="3">
        <f t="shared" si="7"/>
        <v>8850.3371050500009</v>
      </c>
      <c r="E69" s="3">
        <f t="shared" si="7"/>
        <v>9028.2288808615049</v>
      </c>
      <c r="F69" s="3">
        <f t="shared" si="7"/>
        <v>9209.6962813668233</v>
      </c>
      <c r="G69" s="3">
        <f t="shared" si="7"/>
        <v>9394.8111766222955</v>
      </c>
      <c r="H69" s="3">
        <f t="shared" si="7"/>
        <v>9583.6468812724015</v>
      </c>
      <c r="I69" s="3">
        <f t="shared" si="7"/>
        <v>9776.2781835859787</v>
      </c>
      <c r="J69" s="3">
        <f t="shared" si="7"/>
        <v>9972.7813750760579</v>
      </c>
      <c r="K69" s="3">
        <f t="shared" si="7"/>
        <v>10173.234280715085</v>
      </c>
      <c r="L69" s="3">
        <f t="shared" si="7"/>
        <v>10377.71628975746</v>
      </c>
      <c r="M69" s="3">
        <f t="shared" si="7"/>
        <v>10586.308387181585</v>
      </c>
      <c r="N69" s="3">
        <f t="shared" si="7"/>
        <v>10799.093185763937</v>
      </c>
      <c r="O69" s="3">
        <f t="shared" si="7"/>
        <v>11016.154958797792</v>
      </c>
      <c r="P69" s="3">
        <f t="shared" si="7"/>
        <v>11237.579673469623</v>
      </c>
      <c r="Q69" s="3">
        <f t="shared" si="7"/>
        <v>11463.455024906365</v>
      </c>
      <c r="R69" s="3">
        <f t="shared" si="7"/>
        <v>11693.870470906983</v>
      </c>
      <c r="S69" s="3">
        <f t="shared" si="7"/>
        <v>11928.917267372213</v>
      </c>
      <c r="T69" s="3">
        <f t="shared" si="7"/>
        <v>12168.688504446396</v>
      </c>
      <c r="U69" s="3">
        <f t="shared" si="7"/>
        <v>12413.279143385767</v>
      </c>
      <c r="V69" s="3">
        <f t="shared" si="7"/>
        <v>12662.786054167824</v>
      </c>
      <c r="W69" s="3">
        <f t="shared" si="7"/>
        <v>12917.308053856599</v>
      </c>
      <c r="X69" s="3">
        <f t="shared" si="7"/>
        <v>13176.945945739117</v>
      </c>
      <c r="Y69" s="3">
        <f t="shared" si="7"/>
        <v>13441.802559248474</v>
      </c>
      <c r="Z69" s="3">
        <f t="shared" si="7"/>
        <v>13711.982790689368</v>
      </c>
      <c r="AA69" s="3">
        <f t="shared" si="7"/>
        <v>13987.593644782226</v>
      </c>
      <c r="AB69" s="3">
        <f t="shared" si="7"/>
        <v>14268.744277042344</v>
      </c>
      <c r="AC69" s="3">
        <f t="shared" si="7"/>
        <v>14555.546037010896</v>
      </c>
      <c r="AD69" s="3">
        <f t="shared" si="7"/>
        <v>14848.112512354819</v>
      </c>
      <c r="AE69" s="3">
        <f t="shared" si="7"/>
        <v>15146.559573853152</v>
      </c>
      <c r="AF69" s="3">
        <f t="shared" si="7"/>
        <v>15451.005421287598</v>
      </c>
      <c r="AG69" s="3">
        <f t="shared" si="7"/>
        <v>15761.570630255483</v>
      </c>
      <c r="AH69" s="3">
        <f t="shared" si="7"/>
        <v>16078.378199923618</v>
      </c>
      <c r="AI69" s="3">
        <f t="shared" si="7"/>
        <v>16401.553601742082</v>
      </c>
      <c r="AJ69" s="3">
        <f t="shared" si="7"/>
        <v>16731.2248291371</v>
      </c>
      <c r="AK69" s="3">
        <f t="shared" si="7"/>
        <v>17067.522448202759</v>
      </c>
    </row>
    <row r="70" spans="1:37" x14ac:dyDescent="0.2">
      <c r="A70" t="s">
        <v>43</v>
      </c>
      <c r="B70" s="3">
        <f>IF(AND(E19&lt;=B65,E19+(C19*12)&gt;B65),((B19-D19)/C19)/12,0)+IF(AND(E22&lt;=B65,E22+(C22*12)&gt;B65),((B22-D22)/C22)/12,0)</f>
        <v>208.33333333333331</v>
      </c>
      <c r="C70" s="3">
        <f>IF(AND(E19&lt;=C65,E19+(C19*12)&gt;C65),((B19-D19)/C19)/12,0)+IF(AND(E22&lt;=C65,E22+(C22*12)&gt;C65),((B22-D22)/C22)/12,0)</f>
        <v>208.33333333333331</v>
      </c>
      <c r="D70" s="3">
        <f>IF(AND(E19&lt;=D65,E19+(C19*12)&gt;D65),((B19-D19)/C19)/12,0)+IF(AND(E22&lt;=D65,E22+(C22*12)&gt;D65),((B22-D22)/C22)/12,0)</f>
        <v>208.33333333333331</v>
      </c>
      <c r="E70" s="3">
        <f>IF(AND(E19&lt;=E65,E19+(C19*12)&gt;E65),((B19-D19)/C19)/12,0)+IF(AND(E22&lt;=E65,E22+(C22*12)&gt;E65),((B22-D22)/C22)/12,0)</f>
        <v>208.33333333333331</v>
      </c>
      <c r="F70" s="3">
        <f>IF(AND(E19&lt;=F65,E19+(C19*12)&gt;F65),((B19-D19)/C19)/12,0)+IF(AND(E22&lt;=F65,E22+(C22*12)&gt;F65),((B22-D22)/C22)/12,0)</f>
        <v>208.33333333333331</v>
      </c>
      <c r="G70" s="3">
        <f>IF(AND(E19&lt;=G65,E19+(C19*12)&gt;G65),((B19-D19)/C19)/12,0)+IF(AND(E22&lt;=G65,E22+(C22*12)&gt;G65),((B22-D22)/C22)/12,0)</f>
        <v>208.33333333333331</v>
      </c>
      <c r="H70" s="3">
        <f>IF(AND(E19&lt;=H65,E19+(C19*12)&gt;H65),((B19-D19)/C19)/12,0)+IF(AND(E22&lt;=H65,E22+(C22*12)&gt;H65),((B22-D22)/C22)/12,0)</f>
        <v>208.33333333333331</v>
      </c>
      <c r="I70" s="3">
        <f>IF(AND(E19&lt;=I65,E19+(C19*12)&gt;I65),((B19-D19)/C19)/12,0)+IF(AND(E22&lt;=I65,E22+(C22*12)&gt;I65),((B22-D22)/C22)/12,0)</f>
        <v>208.33333333333331</v>
      </c>
      <c r="J70" s="3">
        <f>IF(AND(E19&lt;=J65,E19+(C19*12)&gt;J65),((B19-D19)/C19)/12,0)+IF(AND(E22&lt;=J65,E22+(C22*12)&gt;J65),((B22-D22)/C22)/12,0)</f>
        <v>208.33333333333331</v>
      </c>
      <c r="K70" s="3">
        <f>IF(AND(E19&lt;=K65,E19+(C19*12)&gt;K65),((B19-D19)/C19)/12,0)+IF(AND(E22&lt;=K65,E22+(C22*12)&gt;K65),((B22-D22)/C22)/12,0)</f>
        <v>208.33333333333331</v>
      </c>
      <c r="L70" s="3">
        <f>IF(AND(E19&lt;=L65,E19+(C19*12)&gt;L65),((B19-D19)/C19)/12,0)+IF(AND(E22&lt;=L65,E22+(C22*12)&gt;L65),((B22-D22)/C22)/12,0)</f>
        <v>208.33333333333331</v>
      </c>
      <c r="M70" s="3">
        <f>IF(AND(E19&lt;=M65,E19+(C19*12)&gt;M65),((B19-D19)/C19)/12,0)+IF(AND(E22&lt;=M65,E22+(C22*12)&gt;M65),((B22-D22)/C22)/12,0)</f>
        <v>208.33333333333331</v>
      </c>
      <c r="N70" s="3">
        <f>IF(AND(E19&lt;=N65,E19+(C19*12)&gt;N65),((B19-D19)/C19)/12,0)+IF(AND(E22&lt;=N65,E22+(C22*12)&gt;N65),((B22-D22)/C22)/12,0)</f>
        <v>208.33333333333331</v>
      </c>
      <c r="O70" s="3">
        <f>IF(AND(E19&lt;=O65,E19+(C19*12)&gt;O65),((B19-D19)/C19)/12,0)+IF(AND(E22&lt;=O65,E22+(C22*12)&gt;O65),((B22-D22)/C22)/12,0)</f>
        <v>208.33333333333331</v>
      </c>
      <c r="P70" s="3">
        <f>IF(AND(E19&lt;=P65,E19+(C19*12)&gt;P65),((B19-D19)/C19)/12,0)+IF(AND(E22&lt;=P65,E22+(C22*12)&gt;P65),((B22-D22)/C22)/12,0)</f>
        <v>208.33333333333331</v>
      </c>
      <c r="Q70" s="3">
        <f>IF(AND(E19&lt;=Q65,E19+(C19*12)&gt;Q65),((B19-D19)/C19)/12,0)+IF(AND(E22&lt;=Q65,E22+(C22*12)&gt;Q65),((B22-D22)/C22)/12,0)</f>
        <v>208.33333333333331</v>
      </c>
      <c r="R70" s="3">
        <f>IF(AND(E19&lt;=R65,E19+(C19*12)&gt;R65),((B19-D19)/C19)/12,0)+IF(AND(E22&lt;=R65,E22+(C22*12)&gt;R65),((B22-D22)/C22)/12,0)</f>
        <v>208.33333333333331</v>
      </c>
      <c r="S70" s="3">
        <f>IF(AND(E19&lt;=S65,E19+(C19*12)&gt;S65),((B19-D19)/C19)/12,0)+IF(AND(E22&lt;=S65,E22+(C22*12)&gt;S65),((B22-D22)/C22)/12,0)</f>
        <v>208.33333333333331</v>
      </c>
      <c r="T70" s="3">
        <f>IF(AND(E19&lt;=T65,E19+(C19*12)&gt;T65),((B19-D19)/C19)/12,0)+IF(AND(E22&lt;=T65,E22+(C22*12)&gt;T65),((B22-D22)/C22)/12,0)</f>
        <v>208.33333333333331</v>
      </c>
      <c r="U70" s="3">
        <f>IF(AND(E19&lt;=U65,E19+(C19*12)&gt;U65),((B19-D19)/C19)/12,0)+IF(AND(E22&lt;=U65,E22+(C22*12)&gt;U65),((B22-D22)/C22)/12,0)</f>
        <v>208.33333333333331</v>
      </c>
      <c r="V70" s="3">
        <f>IF(AND(E19&lt;=V65,E19+(C19*12)&gt;V65),((B19-D19)/C19)/12,0)+IF(AND(E22&lt;=V65,E22+(C22*12)&gt;V65),((B22-D22)/C22)/12,0)</f>
        <v>208.33333333333331</v>
      </c>
      <c r="W70" s="3">
        <f>IF(AND(E19&lt;=W65,E19+(C19*12)&gt;W65),((B19-D19)/C19)/12,0)+IF(AND(E22&lt;=W65,E22+(C22*12)&gt;W65),((B22-D22)/C22)/12,0)</f>
        <v>208.33333333333331</v>
      </c>
      <c r="X70" s="3">
        <f>IF(AND(E19&lt;=X65,E19+(C19*12)&gt;X65),((B19-D19)/C19)/12,0)+IF(AND(E22&lt;=X65,E22+(C22*12)&gt;X65),((B22-D22)/C22)/12,0)</f>
        <v>208.33333333333331</v>
      </c>
      <c r="Y70" s="3">
        <f>IF(AND(E19&lt;=Y65,E19+(C19*12)&gt;Y65),((B19-D19)/C19)/12,0)+IF(AND(E22&lt;=Y65,E22+(C22*12)&gt;Y65),((B22-D22)/C22)/12,0)</f>
        <v>208.33333333333331</v>
      </c>
      <c r="Z70" s="3">
        <f>IF(AND(E19&lt;=Z65,E19+(C19*12)&gt;Z65),((B19-D19)/C19)/12,0)+IF(AND(E22&lt;=Z65,E22+(C22*12)&gt;Z65),((B22-D22)/C22)/12,0)</f>
        <v>208.33333333333331</v>
      </c>
      <c r="AA70" s="3">
        <f>IF(AND(E19&lt;=AA65,E19+(C19*12)&gt;AA65),((B19-D19)/C19)/12,0)+IF(AND(E22&lt;=AA65,E22+(C22*12)&gt;AA65),((B22-D22)/C22)/12,0)</f>
        <v>208.33333333333331</v>
      </c>
      <c r="AB70" s="3">
        <f>IF(AND(E19&lt;=AB65,E19+(C19*12)&gt;AB65),((B19-D19)/C19)/12,0)+IF(AND(E22&lt;=AB65,E22+(C22*12)&gt;AB65),((B22-D22)/C22)/12,0)</f>
        <v>208.33333333333331</v>
      </c>
      <c r="AC70" s="3">
        <f>IF(AND(E19&lt;=AC65,E19+(C19*12)&gt;AC65),((B19-D19)/C19)/12,0)+IF(AND(E22&lt;=AC65,E22+(C22*12)&gt;AC65),((B22-D22)/C22)/12,0)</f>
        <v>208.33333333333331</v>
      </c>
      <c r="AD70" s="3">
        <f>IF(AND(E19&lt;=AD65,E19+(C19*12)&gt;AD65),((B19-D19)/C19)/12,0)+IF(AND(E22&lt;=AD65,E22+(C22*12)&gt;AD65),((B22-D22)/C22)/12,0)</f>
        <v>208.33333333333331</v>
      </c>
      <c r="AE70" s="3">
        <f>IF(AND(E19&lt;=AE65,E19+(C19*12)&gt;AE65),((B19-D19)/C19)/12,0)+IF(AND(E22&lt;=AE65,E22+(C22*12)&gt;AE65),((B22-D22)/C22)/12,0)</f>
        <v>208.33333333333331</v>
      </c>
      <c r="AF70" s="3">
        <f>IF(AND(E19&lt;=AF65,E19+(C19*12)&gt;AF65),((B19-D19)/C19)/12,0)+IF(AND(E22&lt;=AF65,E22+(C22*12)&gt;AF65),((B22-D22)/C22)/12,0)</f>
        <v>208.33333333333331</v>
      </c>
      <c r="AG70" s="3">
        <f>IF(AND(E19&lt;=AG65,E19+(C19*12)&gt;AG65),((B19-D19)/C19)/12,0)+IF(AND(E22&lt;=AG65,E22+(C22*12)&gt;AG65),((B22-D22)/C22)/12,0)</f>
        <v>208.33333333333331</v>
      </c>
      <c r="AH70" s="3">
        <f>IF(AND(E19&lt;=AH65,E19+(C19*12)&gt;AH65),((B19-D19)/C19)/12,0)+IF(AND(E22&lt;=AH65,E22+(C22*12)&gt;AH65),((B22-D22)/C22)/12,0)</f>
        <v>208.33333333333331</v>
      </c>
      <c r="AI70" s="3">
        <f>IF(AND(E19&lt;=AI65,E19+(C19*12)&gt;AI65),((B19-D19)/C19)/12,0)+IF(AND(E22&lt;=AI65,E22+(C22*12)&gt;AI65),((B22-D22)/C22)/12,0)</f>
        <v>208.33333333333331</v>
      </c>
      <c r="AJ70" s="3">
        <f>IF(AND(E19&lt;=AJ65,E19+(C19*12)&gt;AJ65),((B19-D19)/C19)/12,0)+IF(AND(E22&lt;=AJ65,E22+(C22*12)&gt;AJ65),((B22-D22)/C22)/12,0)</f>
        <v>208.33333333333331</v>
      </c>
      <c r="AK70" s="3">
        <f>IF(AND(E19&lt;=AK65,E19+(C19*12)&gt;AK65),((B19-D19)/C19)/12,0)+IF(AND(E22&lt;=AK65,E22+(C22*12)&gt;AK65),((B22-D22)/C22)/12,0)</f>
        <v>208.33333333333331</v>
      </c>
    </row>
    <row r="71" spans="1:37" x14ac:dyDescent="0.2">
      <c r="A71" t="str">
        <f>SUBSTITUTE(A26," Days to Get Paid","",1)</f>
        <v>Food Truck Sales</v>
      </c>
      <c r="B71" s="3">
        <f>IF(AND(B26&gt;=0,B26&lt;31,B65&gt;=1),B31*B29,IF(AND(B26&gt;=31,B26&lt;62,B65&gt;=1),0,IF(AND(B26&gt;=62,B26&lt;=93,B65&gt;=1),0,0)))</f>
        <v>13500</v>
      </c>
      <c r="C71" s="3">
        <f>IF(AND(B26&gt;=0,B26&lt;31,C65&gt;=2),C31*C29,IF(AND(B26&gt;=31,B26&lt;62,C65&gt;=2),C31*C29,IF(AND(B26&gt;=62,B26&lt;=93,C65&gt;=2),0,0)))</f>
        <v>13771.35</v>
      </c>
      <c r="D71" s="3">
        <f>IF(AND(B26&gt;=0,B26&lt;31,D65&gt;=3),D31*D29,IF(AND(B26&gt;=31,B26&lt;62,D65&gt;=3),D31*D29,IF(AND(B26&gt;=62,B26&lt;=93,D65&gt;=3),D31*D29,0)))</f>
        <v>14048.154135000001</v>
      </c>
      <c r="E71" s="3">
        <f>IF(AND(B26&gt;=0,B26&lt;31,E65&gt;=4),E31*E29,IF(AND(B26&gt;=31,B26&lt;62,E65&gt;=4),E31*E29,IF(AND(B26&gt;=62,B26&lt;=93,E65&gt;=4),E31*E29,0)))</f>
        <v>14330.522033113501</v>
      </c>
      <c r="F71" s="3">
        <f>IF(AND(B26&gt;=0,B26&lt;31,F65&gt;=5),F31*F29,IF(AND(B26&gt;=31,B26&lt;62,F65&gt;=5),F31*F29,IF(AND(B26&gt;=62,B26&lt;=93,F65&gt;=5),F31*F29,0)))</f>
        <v>14618.565525979086</v>
      </c>
      <c r="G71" s="3">
        <f>IF(AND(B26&gt;=0,B26&lt;31,G65&gt;=6),G31*G29,IF(AND(B26&gt;=31,B26&lt;62,G65&gt;=6),G31*G29,IF(AND(B26&gt;=62,B26&lt;=93,G65&gt;=6),G31*G29,0)))</f>
        <v>14912.398693051264</v>
      </c>
      <c r="H71" s="3">
        <f>IF(AND(B26&gt;=0,B26&lt;31,H65&gt;=7),H31*H29,IF(AND(B26&gt;=31,B26&lt;62,H65&gt;=7),H31*H29,IF(AND(B26&gt;=62,B26&lt;=93,H65&gt;=7),H31*H29,0)))</f>
        <v>15212.137906781592</v>
      </c>
      <c r="I71" s="3">
        <f>IF(AND(B26&gt;=0,B26&lt;31,I65&gt;=8),I31*I29,IF(AND(B26&gt;=31,B26&lt;62,I65&gt;=8),I31*I29,IF(AND(B26&gt;=62,B26&lt;=93,I65&gt;=8),I31*I29,0)))</f>
        <v>15517.901878707902</v>
      </c>
      <c r="J71" s="3">
        <f>IF(AND(B26&gt;=0,B26&lt;31,J65&gt;=9),J31*J29,IF(AND(B26&gt;=31,B26&lt;62,J65&gt;=9),J31*J29,IF(AND(B26&gt;=62,B26&lt;=93,J65&gt;=9),J31*J29,0)))</f>
        <v>15829.811706469931</v>
      </c>
      <c r="K71" s="3">
        <f>IF(AND(B26&gt;=0,B26&lt;31,K65&gt;=10),K31*K29,IF(AND(B26&gt;=31,B26&lt;62,K65&gt;=10),K31*K29,IF(AND(B26&gt;=62,B26&lt;=93,K65&gt;=10),K31*K29,0)))</f>
        <v>16147.990921769977</v>
      </c>
      <c r="L71" s="3">
        <f>IF(AND(B26&gt;=0,B26&lt;31,L65&gt;=11),L31*L29,IF(AND(B26&gt;=31,B26&lt;62,L65&gt;=11),L31*L29,IF(AND(B26&gt;=62,B26&lt;=93,L65&gt;=11),L31*L29,0)))</f>
        <v>16472.565539297553</v>
      </c>
      <c r="M71" s="3">
        <f>IF(AND(B26&gt;=0,B26&lt;31,M65&gt;=12),M31*M29,IF(AND(B26&gt;=31,B26&lt;62,M65&gt;=12),M31*M29,IF(AND(B26&gt;=62,B26&lt;=93,M65&gt;=12),M31*M29,0)))</f>
        <v>16803.664106637436</v>
      </c>
      <c r="N71" s="3">
        <f>IF(AND(B26&gt;=0,B26&lt;31,N65&gt;=13),N31*N29,IF(AND(B26&gt;=31,B26&lt;62,N65&gt;=13),N31*N29,IF(AND(B26&gt;=62,B26&lt;=93,N65&gt;=13),N31*N29,0)))</f>
        <v>17141.417755180853</v>
      </c>
      <c r="O71" s="3">
        <f>IF(AND(B26&gt;=0,B26&lt;31,O65&gt;=14),O31*O29,IF(AND(B26&gt;=31,B26&lt;62,O65&gt;=14),O31*O29,IF(AND(B26&gt;=62,B26&lt;=93,O65&gt;=14),O31*O29,0)))</f>
        <v>17485.960252059984</v>
      </c>
      <c r="P71" s="3">
        <f>IF(AND(B26&gt;=0,B26&lt;31,P65&gt;=15),P31*P29,IF(AND(B26&gt;=31,B26&lt;62,P65&gt;=15),P31*P29,IF(AND(B26&gt;=62,B26&lt;=93,P65&gt;=15),P31*P29,0)))</f>
        <v>17837.42805312639</v>
      </c>
      <c r="Q71" s="3">
        <f>IF(AND(B26&gt;=0,B26&lt;31,Q65&gt;=16),Q31*Q29,IF(AND(B26&gt;=31,B26&lt;62,Q65&gt;=16),Q31*Q29,IF(AND(B26&gt;=62,B26&lt;=93,Q65&gt;=16),Q31*Q29,0)))</f>
        <v>18195.96035699423</v>
      </c>
      <c r="R71" s="3">
        <f>IF(AND(B26&gt;=0,B26&lt;31,R65&gt;=17),R31*R29,IF(AND(B26&gt;=31,B26&lt;62,R65&gt;=17),R31*R29,IF(AND(B26&gt;=62,B26&lt;=93,R65&gt;=17),R31*R29,0)))</f>
        <v>18561.699160169814</v>
      </c>
      <c r="S71" s="3">
        <f>IF(AND(B26&gt;=0,B26&lt;31,S65&gt;=18),S31*S29,IF(AND(B26&gt;=31,B26&lt;62,S65&gt;=18),S31*S29,IF(AND(B26&gt;=62,B26&lt;=93,S65&gt;=18),S31*S29,0)))</f>
        <v>18934.789313289228</v>
      </c>
      <c r="T71" s="3">
        <f>IF(AND(B26&gt;=0,B26&lt;31,T65&gt;=19),T31*T29,IF(AND(B26&gt;=31,B26&lt;62,T65&gt;=19),T31*T29,IF(AND(B26&gt;=62,B26&lt;=93,T65&gt;=19),T31*T29,0)))</f>
        <v>19315.378578486343</v>
      </c>
      <c r="U71" s="3">
        <f>IF(AND(B26&gt;=0,B26&lt;31,U65&gt;=20),U31*U29,IF(AND(B26&gt;=31,B26&lt;62,U65&gt;=20),U31*U29,IF(AND(B26&gt;=62,B26&lt;=93,U65&gt;=20),U31*U29,0)))</f>
        <v>19703.61768791392</v>
      </c>
      <c r="V71" s="3">
        <f>IF(AND(B26&gt;=0,B26&lt;31,V65&gt;=21),V31*V29,IF(AND(B26&gt;=31,B26&lt;62,V65&gt;=21),V31*V29,IF(AND(B26&gt;=62,B26&lt;=93,V65&gt;=21),V31*V29,0)))</f>
        <v>20099.66040344099</v>
      </c>
      <c r="W71" s="3">
        <f>IF(AND(B26&gt;=0,B26&lt;31,W65&gt;=22),W31*W29,IF(AND(B26&gt;=31,B26&lt;62,W65&gt;=22),W31*W29,IF(AND(B26&gt;=62,B26&lt;=93,W65&gt;=22),W31*W29,0)))</f>
        <v>20503.663577550156</v>
      </c>
      <c r="X71" s="3">
        <f>IF(AND(B26&gt;=0,B26&lt;31,X65&gt;=23),X31*X29,IF(AND(B26&gt;=31,B26&lt;62,X65&gt;=23),X31*X29,IF(AND(B26&gt;=62,B26&lt;=93,X65&gt;=23),X31*X29,0)))</f>
        <v>20915.787215458917</v>
      </c>
      <c r="Y71" s="3">
        <f>IF(AND(B26&gt;=0,B26&lt;31,Y65&gt;=24),Y31*Y29,IF(AND(B26&gt;=31,B26&lt;62,Y65&gt;=24),Y31*Y29,IF(AND(B26&gt;=62,B26&lt;=93,Y65&gt;=24),Y31*Y29,0)))</f>
        <v>21336.194538489643</v>
      </c>
      <c r="Z71" s="3">
        <f>IF(AND(B26&gt;=0,B26&lt;31,Z65&gt;=25),Z31*Z29,IF(AND(B26&gt;=31,B26&lt;62,Z65&gt;=25),Z31*Z29,IF(AND(B26&gt;=62,B26&lt;=93,Z65&gt;=25),Z31*Z29,0)))</f>
        <v>21765.052048713285</v>
      </c>
      <c r="AA71" s="3">
        <f>IF(AND(B26&gt;=0,B26&lt;31,AA65&gt;=26),AA31*AA29,IF(AND(B26&gt;=31,B26&lt;62,AA65&gt;=26),AA31*AA29,IF(AND(B26&gt;=62,B26&lt;=93,AA65&gt;=26),AA31*AA29,0)))</f>
        <v>22202.529594892421</v>
      </c>
      <c r="AB71" s="3">
        <f>IF(AND(B26&gt;=0,B26&lt;31,AB65&gt;=27),AB31*AB29,IF(AND(B26&gt;=31,B26&lt;62,AB65&gt;=27),AB31*AB29,IF(AND(B26&gt;=62,B26&lt;=93,AB65&gt;=27),AB31*AB29,0)))</f>
        <v>22648.800439749753</v>
      </c>
      <c r="AC71" s="3">
        <f>IF(AND(B26&gt;=0,B26&lt;31,AC65&gt;=28),AC31*AC29,IF(AND(B26&gt;=31,B26&lt;62,AC65&gt;=28),AC31*AC29,IF(AND(B26&gt;=62,B26&lt;=93,AC65&gt;=28),AC31*AC29,0)))</f>
        <v>23104.041328588723</v>
      </c>
      <c r="AD71" s="3">
        <f>IF(AND(B26&gt;=0,B26&lt;31,AD65&gt;=29),AD31*AD29,IF(AND(B26&gt;=31,B26&lt;62,AD65&gt;=29),AD31*AD29,IF(AND(B26&gt;=62,B26&lt;=93,AD65&gt;=29),AD31*AD29,0)))</f>
        <v>23568.43255929336</v>
      </c>
      <c r="AE71" s="3">
        <f>IF(AND(B26&gt;=0,B26&lt;31,AE65&gt;=30),AE31*AE29,IF(AND(B26&gt;=31,B26&lt;62,AE65&gt;=30),AE31*AE29,IF(AND(B26&gt;=62,B26&lt;=93,AE65&gt;=30),AE31*AE29,0)))</f>
        <v>24042.158053735158</v>
      </c>
      <c r="AF71" s="3">
        <f>IF(AND(B26&gt;=0,B26&lt;31,AF65&gt;=31),AF31*AF29,IF(AND(B26&gt;=31,B26&lt;62,AF65&gt;=31),AF31*AF29,IF(AND(B26&gt;=62,B26&lt;=93,AF65&gt;=31),AF31*AF29,0)))</f>
        <v>24525.405430615236</v>
      </c>
      <c r="AG71" s="3">
        <f>IF(AND(B26&gt;=0,B26&lt;31,AG65&gt;=32),AG31*AG29,IF(AND(B26&gt;=31,B26&lt;62,AG65&gt;=32),AG31*AG29,IF(AND(B26&gt;=62,B26&lt;=93,AG65&gt;=32),AG31*AG29,0)))</f>
        <v>25018.366079770603</v>
      </c>
      <c r="AH71" s="3">
        <f>IF(AND(B26&gt;=0,B26&lt;31,AH65&gt;=33),AH31*AH29,IF(AND(B26&gt;=31,B26&lt;62,AH65&gt;=33),AH31*AH29,IF(AND(B26&gt;=62,B26&lt;=93,AH65&gt;=33),AH31*AH29,0)))</f>
        <v>25521.235237973997</v>
      </c>
      <c r="AI71" s="3">
        <f>IF(AND(B26&gt;=0,B26&lt;31,AI65&gt;=34),AI31*AI29,IF(AND(B26&gt;=31,B26&lt;62,AI65&gt;=34),AI31*AI29,IF(AND(B26&gt;=62,B26&lt;=93,AI65&gt;=34),AI31*AI29,0)))</f>
        <v>26034.212066257274</v>
      </c>
      <c r="AJ71" s="3">
        <f>IF(AND(B26&gt;=0,B26&lt;31,AJ65&gt;=35),AJ31*AJ29,IF(AND(B26&gt;=31,B26&lt;62,AJ65&gt;=35),AJ31*AJ29,IF(AND(B26&gt;=62,B26&lt;=93,AJ65&gt;=35),AJ31*AJ29,0)))</f>
        <v>26557.499728789047</v>
      </c>
      <c r="AK71" s="3">
        <f>IF(AND(B26&gt;=0,B26&lt;31,AK65&gt;=36),AK31*AK29,IF(AND(B26&gt;=31,B26&lt;62,AK65&gt;=36),AK31*AK29,IF(AND(B26&gt;=62,B26&lt;=93,AK65&gt;=36),AK31*AK29,0)))</f>
        <v>27091.30547333771</v>
      </c>
    </row>
    <row r="72" spans="1:37" x14ac:dyDescent="0.2">
      <c r="A72" t="s">
        <v>44</v>
      </c>
      <c r="B72" s="3">
        <f t="shared" ref="B72:AK72" si="8">SUM(B71:B71)</f>
        <v>13500</v>
      </c>
      <c r="C72" s="3">
        <f t="shared" si="8"/>
        <v>13771.35</v>
      </c>
      <c r="D72" s="3">
        <f t="shared" si="8"/>
        <v>14048.154135000001</v>
      </c>
      <c r="E72" s="3">
        <f t="shared" si="8"/>
        <v>14330.522033113501</v>
      </c>
      <c r="F72" s="3">
        <f t="shared" si="8"/>
        <v>14618.565525979086</v>
      </c>
      <c r="G72" s="3">
        <f t="shared" si="8"/>
        <v>14912.398693051264</v>
      </c>
      <c r="H72" s="3">
        <f t="shared" si="8"/>
        <v>15212.137906781592</v>
      </c>
      <c r="I72" s="3">
        <f t="shared" si="8"/>
        <v>15517.901878707902</v>
      </c>
      <c r="J72" s="3">
        <f t="shared" si="8"/>
        <v>15829.811706469931</v>
      </c>
      <c r="K72" s="3">
        <f t="shared" si="8"/>
        <v>16147.990921769977</v>
      </c>
      <c r="L72" s="3">
        <f t="shared" si="8"/>
        <v>16472.565539297553</v>
      </c>
      <c r="M72" s="3">
        <f t="shared" si="8"/>
        <v>16803.664106637436</v>
      </c>
      <c r="N72" s="3">
        <f t="shared" si="8"/>
        <v>17141.417755180853</v>
      </c>
      <c r="O72" s="3">
        <f t="shared" si="8"/>
        <v>17485.960252059984</v>
      </c>
      <c r="P72" s="3">
        <f t="shared" si="8"/>
        <v>17837.42805312639</v>
      </c>
      <c r="Q72" s="3">
        <f t="shared" si="8"/>
        <v>18195.96035699423</v>
      </c>
      <c r="R72" s="3">
        <f t="shared" si="8"/>
        <v>18561.699160169814</v>
      </c>
      <c r="S72" s="3">
        <f t="shared" si="8"/>
        <v>18934.789313289228</v>
      </c>
      <c r="T72" s="3">
        <f t="shared" si="8"/>
        <v>19315.378578486343</v>
      </c>
      <c r="U72" s="3">
        <f t="shared" si="8"/>
        <v>19703.61768791392</v>
      </c>
      <c r="V72" s="3">
        <f t="shared" si="8"/>
        <v>20099.66040344099</v>
      </c>
      <c r="W72" s="3">
        <f t="shared" si="8"/>
        <v>20503.663577550156</v>
      </c>
      <c r="X72" s="3">
        <f t="shared" si="8"/>
        <v>20915.787215458917</v>
      </c>
      <c r="Y72" s="3">
        <f t="shared" si="8"/>
        <v>21336.194538489643</v>
      </c>
      <c r="Z72" s="3">
        <f t="shared" si="8"/>
        <v>21765.052048713285</v>
      </c>
      <c r="AA72" s="3">
        <f t="shared" si="8"/>
        <v>22202.529594892421</v>
      </c>
      <c r="AB72" s="3">
        <f t="shared" si="8"/>
        <v>22648.800439749753</v>
      </c>
      <c r="AC72" s="3">
        <f t="shared" si="8"/>
        <v>23104.041328588723</v>
      </c>
      <c r="AD72" s="3">
        <f t="shared" si="8"/>
        <v>23568.43255929336</v>
      </c>
      <c r="AE72" s="3">
        <f t="shared" si="8"/>
        <v>24042.158053735158</v>
      </c>
      <c r="AF72" s="3">
        <f t="shared" si="8"/>
        <v>24525.405430615236</v>
      </c>
      <c r="AG72" s="3">
        <f t="shared" si="8"/>
        <v>25018.366079770603</v>
      </c>
      <c r="AH72" s="3">
        <f t="shared" si="8"/>
        <v>25521.235237973997</v>
      </c>
      <c r="AI72" s="3">
        <f t="shared" si="8"/>
        <v>26034.212066257274</v>
      </c>
      <c r="AJ72" s="3">
        <f t="shared" si="8"/>
        <v>26557.499728789047</v>
      </c>
      <c r="AK72" s="3">
        <f t="shared" si="8"/>
        <v>27091.30547333771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4"/>
  <sheetViews>
    <sheetView workbookViewId="0">
      <selection activeCell="C9" sqref="C9"/>
    </sheetView>
  </sheetViews>
  <sheetFormatPr baseColWidth="10" defaultColWidth="8.83203125" defaultRowHeight="15" x14ac:dyDescent="0.2"/>
  <cols>
    <col min="1" max="1" width="49.5" customWidth="1"/>
    <col min="2" max="37" width="11.5" bestFit="1" customWidth="1"/>
  </cols>
  <sheetData>
    <row r="1" spans="1:37" x14ac:dyDescent="0.2">
      <c r="B1" s="29" t="s">
        <v>169</v>
      </c>
      <c r="C1" s="29" t="s">
        <v>170</v>
      </c>
      <c r="D1" s="29" t="s">
        <v>171</v>
      </c>
      <c r="E1" s="29" t="s">
        <v>172</v>
      </c>
      <c r="F1" s="29" t="s">
        <v>173</v>
      </c>
      <c r="G1" s="29" t="s">
        <v>174</v>
      </c>
      <c r="H1" s="29" t="s">
        <v>175</v>
      </c>
      <c r="I1" s="29" t="s">
        <v>176</v>
      </c>
      <c r="J1" s="29" t="s">
        <v>177</v>
      </c>
      <c r="K1" s="29" t="s">
        <v>178</v>
      </c>
      <c r="L1" s="29" t="s">
        <v>179</v>
      </c>
      <c r="M1" s="29" t="s">
        <v>180</v>
      </c>
      <c r="N1" s="29" t="s">
        <v>181</v>
      </c>
      <c r="O1" s="29" t="s">
        <v>182</v>
      </c>
      <c r="P1" s="29" t="s">
        <v>183</v>
      </c>
      <c r="Q1" s="29" t="s">
        <v>184</v>
      </c>
      <c r="R1" s="29" t="s">
        <v>185</v>
      </c>
      <c r="S1" s="29" t="s">
        <v>186</v>
      </c>
      <c r="T1" s="29" t="s">
        <v>187</v>
      </c>
      <c r="U1" s="29" t="s">
        <v>188</v>
      </c>
      <c r="V1" s="29" t="s">
        <v>189</v>
      </c>
      <c r="W1" s="29" t="s">
        <v>190</v>
      </c>
      <c r="X1" s="29" t="s">
        <v>191</v>
      </c>
      <c r="Y1" s="29" t="s">
        <v>192</v>
      </c>
      <c r="Z1" s="29" t="s">
        <v>193</v>
      </c>
      <c r="AA1" s="29" t="s">
        <v>194</v>
      </c>
      <c r="AB1" s="29" t="s">
        <v>195</v>
      </c>
      <c r="AC1" s="29" t="s">
        <v>196</v>
      </c>
      <c r="AD1" s="29" t="s">
        <v>197</v>
      </c>
      <c r="AE1" s="29" t="s">
        <v>198</v>
      </c>
      <c r="AF1" s="29" t="s">
        <v>199</v>
      </c>
      <c r="AG1" s="29" t="s">
        <v>200</v>
      </c>
      <c r="AH1" s="29" t="s">
        <v>201</v>
      </c>
      <c r="AI1" s="29" t="s">
        <v>202</v>
      </c>
      <c r="AJ1" s="29" t="s">
        <v>203</v>
      </c>
      <c r="AK1" s="29" t="s">
        <v>204</v>
      </c>
    </row>
    <row r="2" spans="1:37" x14ac:dyDescent="0.2">
      <c r="A2" s="43" t="s">
        <v>165</v>
      </c>
      <c r="B2">
        <v>30</v>
      </c>
      <c r="C2">
        <v>30</v>
      </c>
      <c r="D2">
        <v>30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30</v>
      </c>
      <c r="L2">
        <v>30</v>
      </c>
      <c r="M2">
        <v>30</v>
      </c>
      <c r="N2">
        <v>30</v>
      </c>
      <c r="O2">
        <v>30</v>
      </c>
      <c r="P2">
        <v>30</v>
      </c>
      <c r="Q2">
        <v>30</v>
      </c>
      <c r="R2">
        <v>30</v>
      </c>
      <c r="S2">
        <v>30</v>
      </c>
      <c r="T2">
        <v>30</v>
      </c>
      <c r="U2">
        <v>30</v>
      </c>
      <c r="V2">
        <v>30</v>
      </c>
      <c r="W2">
        <v>30</v>
      </c>
      <c r="X2">
        <v>30</v>
      </c>
      <c r="Y2">
        <v>30</v>
      </c>
      <c r="Z2">
        <v>30</v>
      </c>
      <c r="AA2">
        <v>30</v>
      </c>
      <c r="AB2">
        <v>30</v>
      </c>
      <c r="AC2">
        <v>30</v>
      </c>
      <c r="AD2">
        <v>30</v>
      </c>
      <c r="AE2">
        <v>30</v>
      </c>
      <c r="AF2">
        <v>30</v>
      </c>
      <c r="AG2">
        <v>30</v>
      </c>
      <c r="AH2">
        <v>30</v>
      </c>
      <c r="AI2">
        <v>30</v>
      </c>
      <c r="AJ2">
        <v>30</v>
      </c>
      <c r="AK2">
        <v>30</v>
      </c>
    </row>
    <row r="3" spans="1:37" x14ac:dyDescent="0.2">
      <c r="A3" s="43" t="s">
        <v>166</v>
      </c>
      <c r="B3" s="46">
        <v>12</v>
      </c>
      <c r="C3" s="47">
        <f>B3*(1+B4)</f>
        <v>12.120000000000001</v>
      </c>
      <c r="D3" s="47">
        <f t="shared" ref="D3:AK3" si="0">C3*(1+C4)</f>
        <v>12.241200000000001</v>
      </c>
      <c r="E3" s="47">
        <f t="shared" si="0"/>
        <v>12.363612000000002</v>
      </c>
      <c r="F3" s="47">
        <f t="shared" si="0"/>
        <v>12.487248120000002</v>
      </c>
      <c r="G3" s="47">
        <f t="shared" si="0"/>
        <v>12.612120601200003</v>
      </c>
      <c r="H3" s="47">
        <f t="shared" si="0"/>
        <v>12.738241807212002</v>
      </c>
      <c r="I3" s="47">
        <f t="shared" si="0"/>
        <v>12.865624225284122</v>
      </c>
      <c r="J3" s="47">
        <f t="shared" si="0"/>
        <v>12.994280467536964</v>
      </c>
      <c r="K3" s="47">
        <f t="shared" si="0"/>
        <v>13.124223272212333</v>
      </c>
      <c r="L3" s="47">
        <f t="shared" si="0"/>
        <v>13.255465504934456</v>
      </c>
      <c r="M3" s="47">
        <f t="shared" si="0"/>
        <v>13.388020159983801</v>
      </c>
      <c r="N3" s="47">
        <f t="shared" si="0"/>
        <v>13.52190036158364</v>
      </c>
      <c r="O3" s="47">
        <f t="shared" si="0"/>
        <v>13.657119365199476</v>
      </c>
      <c r="P3" s="47">
        <f t="shared" si="0"/>
        <v>13.79369055885147</v>
      </c>
      <c r="Q3" s="47">
        <f t="shared" si="0"/>
        <v>13.931627464439984</v>
      </c>
      <c r="R3" s="47">
        <f t="shared" si="0"/>
        <v>14.070943739084385</v>
      </c>
      <c r="S3" s="47">
        <f t="shared" si="0"/>
        <v>14.211653176475229</v>
      </c>
      <c r="T3" s="47">
        <f t="shared" si="0"/>
        <v>14.353769708239982</v>
      </c>
      <c r="U3" s="47">
        <f t="shared" si="0"/>
        <v>14.497307405322381</v>
      </c>
      <c r="V3" s="47">
        <f t="shared" si="0"/>
        <v>14.642280479375605</v>
      </c>
      <c r="W3" s="47">
        <f t="shared" si="0"/>
        <v>14.788703284169362</v>
      </c>
      <c r="X3" s="47">
        <f t="shared" si="0"/>
        <v>14.936590317011056</v>
      </c>
      <c r="Y3" s="47">
        <f t="shared" si="0"/>
        <v>15.085956220181167</v>
      </c>
      <c r="Z3" s="47">
        <f t="shared" si="0"/>
        <v>15.236815782382978</v>
      </c>
      <c r="AA3" s="47">
        <f t="shared" si="0"/>
        <v>15.389183940206808</v>
      </c>
      <c r="AB3" s="47">
        <f t="shared" si="0"/>
        <v>15.543075779608875</v>
      </c>
      <c r="AC3" s="47">
        <f t="shared" si="0"/>
        <v>15.698506537404963</v>
      </c>
      <c r="AD3" s="47">
        <f t="shared" si="0"/>
        <v>15.855491602779013</v>
      </c>
      <c r="AE3" s="47">
        <f t="shared" si="0"/>
        <v>16.014046518806804</v>
      </c>
      <c r="AF3" s="47">
        <f t="shared" si="0"/>
        <v>16.174186983994872</v>
      </c>
      <c r="AG3" s="47">
        <f t="shared" si="0"/>
        <v>16.335928853834822</v>
      </c>
      <c r="AH3" s="47">
        <f t="shared" si="0"/>
        <v>16.499288142373171</v>
      </c>
      <c r="AI3" s="47">
        <f t="shared" si="0"/>
        <v>16.664281023796903</v>
      </c>
      <c r="AJ3" s="47">
        <f t="shared" si="0"/>
        <v>16.830923834034873</v>
      </c>
      <c r="AK3" s="47">
        <f t="shared" si="0"/>
        <v>16.999233072375223</v>
      </c>
    </row>
    <row r="4" spans="1:37" x14ac:dyDescent="0.2">
      <c r="A4" s="29" t="s">
        <v>205</v>
      </c>
      <c r="B4" s="45">
        <v>0.01</v>
      </c>
      <c r="C4" s="45">
        <v>0.01</v>
      </c>
      <c r="D4" s="45">
        <v>0.01</v>
      </c>
      <c r="E4" s="45">
        <v>0.01</v>
      </c>
      <c r="F4" s="45">
        <v>0.01</v>
      </c>
      <c r="G4" s="45">
        <v>0.01</v>
      </c>
      <c r="H4" s="45">
        <v>0.01</v>
      </c>
      <c r="I4" s="45">
        <v>0.01</v>
      </c>
      <c r="J4" s="45">
        <v>0.01</v>
      </c>
      <c r="K4" s="45">
        <v>0.01</v>
      </c>
      <c r="L4" s="45">
        <v>0.01</v>
      </c>
      <c r="M4" s="45">
        <v>0.01</v>
      </c>
      <c r="N4" s="45">
        <v>0.01</v>
      </c>
      <c r="O4" s="45">
        <v>0.01</v>
      </c>
      <c r="P4" s="45">
        <v>0.01</v>
      </c>
      <c r="Q4" s="45">
        <v>0.01</v>
      </c>
      <c r="R4" s="45">
        <v>0.01</v>
      </c>
      <c r="S4" s="45">
        <v>0.01</v>
      </c>
      <c r="T4" s="45">
        <v>0.01</v>
      </c>
      <c r="U4" s="45">
        <v>0.01</v>
      </c>
      <c r="V4" s="45">
        <v>0.01</v>
      </c>
      <c r="W4" s="45">
        <v>0.01</v>
      </c>
      <c r="X4" s="45">
        <v>0.01</v>
      </c>
      <c r="Y4" s="45">
        <v>0.01</v>
      </c>
      <c r="Z4" s="45">
        <v>0.01</v>
      </c>
      <c r="AA4" s="45">
        <v>0.01</v>
      </c>
      <c r="AB4" s="45">
        <v>0.01</v>
      </c>
      <c r="AC4" s="45">
        <v>0.01</v>
      </c>
      <c r="AD4" s="45">
        <v>0.01</v>
      </c>
      <c r="AE4" s="45">
        <v>0.01</v>
      </c>
      <c r="AF4" s="45">
        <v>0.01</v>
      </c>
      <c r="AG4" s="45">
        <v>0.01</v>
      </c>
      <c r="AH4" s="45">
        <v>0.01</v>
      </c>
      <c r="AI4" s="45">
        <v>0.01</v>
      </c>
      <c r="AJ4" s="45">
        <v>0.01</v>
      </c>
      <c r="AK4" s="45">
        <v>0.01</v>
      </c>
    </row>
    <row r="5" spans="1:37" x14ac:dyDescent="0.2">
      <c r="A5" s="43" t="s">
        <v>167</v>
      </c>
      <c r="B5" s="20">
        <v>150</v>
      </c>
      <c r="C5" s="20">
        <v>150</v>
      </c>
      <c r="D5" s="20">
        <v>150</v>
      </c>
      <c r="E5" s="20">
        <v>150</v>
      </c>
      <c r="F5" s="20">
        <v>150</v>
      </c>
      <c r="G5" s="20">
        <v>150</v>
      </c>
      <c r="H5" s="20">
        <v>150</v>
      </c>
      <c r="I5" s="20">
        <v>150</v>
      </c>
      <c r="J5" s="20">
        <v>150</v>
      </c>
      <c r="K5" s="20">
        <v>150</v>
      </c>
      <c r="L5" s="20">
        <v>150</v>
      </c>
      <c r="M5" s="20">
        <v>150</v>
      </c>
      <c r="N5" s="20">
        <v>150</v>
      </c>
      <c r="O5" s="20">
        <v>150</v>
      </c>
      <c r="P5" s="20">
        <v>150</v>
      </c>
      <c r="Q5" s="20">
        <v>150</v>
      </c>
      <c r="R5" s="20">
        <v>150</v>
      </c>
      <c r="S5" s="20">
        <v>150</v>
      </c>
      <c r="T5" s="20">
        <v>150</v>
      </c>
      <c r="U5" s="20">
        <v>150</v>
      </c>
      <c r="V5" s="20">
        <v>150</v>
      </c>
      <c r="W5" s="20">
        <v>150</v>
      </c>
      <c r="X5" s="20">
        <v>150</v>
      </c>
      <c r="Y5" s="20">
        <v>150</v>
      </c>
      <c r="Z5" s="20">
        <v>150</v>
      </c>
      <c r="AA5" s="20">
        <v>150</v>
      </c>
      <c r="AB5" s="20">
        <v>150</v>
      </c>
      <c r="AC5" s="20">
        <v>150</v>
      </c>
      <c r="AD5" s="20">
        <v>150</v>
      </c>
      <c r="AE5" s="20">
        <v>150</v>
      </c>
      <c r="AF5" s="20">
        <v>150</v>
      </c>
      <c r="AG5" s="20">
        <v>150</v>
      </c>
      <c r="AH5" s="20">
        <v>150</v>
      </c>
      <c r="AI5" s="20">
        <v>150</v>
      </c>
      <c r="AJ5" s="20">
        <v>150</v>
      </c>
      <c r="AK5" s="20">
        <v>150</v>
      </c>
    </row>
    <row r="6" spans="1:37" x14ac:dyDescent="0.2">
      <c r="A6" s="43" t="s">
        <v>168</v>
      </c>
      <c r="B6" s="45">
        <v>0.25</v>
      </c>
      <c r="C6" s="26">
        <f>B6*(1+B7)</f>
        <v>0.2525</v>
      </c>
      <c r="D6" s="26">
        <f t="shared" ref="D6:AK6" si="1">C6*(1+C7)</f>
        <v>0.255025</v>
      </c>
      <c r="E6" s="26">
        <f t="shared" si="1"/>
        <v>0.25757524999999998</v>
      </c>
      <c r="F6" s="26">
        <f t="shared" si="1"/>
        <v>0.26015100250000001</v>
      </c>
      <c r="G6" s="26">
        <f t="shared" si="1"/>
        <v>0.26275251252499998</v>
      </c>
      <c r="H6" s="26">
        <f t="shared" si="1"/>
        <v>0.26538003765024998</v>
      </c>
      <c r="I6" s="26">
        <f t="shared" si="1"/>
        <v>0.26803383802675246</v>
      </c>
      <c r="J6" s="26">
        <f t="shared" si="1"/>
        <v>0.27071417640702</v>
      </c>
      <c r="K6" s="26">
        <f t="shared" si="1"/>
        <v>0.27342131817109022</v>
      </c>
      <c r="L6" s="26">
        <f t="shared" si="1"/>
        <v>0.27615553135280113</v>
      </c>
      <c r="M6" s="26">
        <f t="shared" si="1"/>
        <v>0.27891708666632914</v>
      </c>
      <c r="N6" s="26">
        <f t="shared" si="1"/>
        <v>0.28170625753299244</v>
      </c>
      <c r="O6" s="26">
        <f t="shared" si="1"/>
        <v>0.28452332010832238</v>
      </c>
      <c r="P6" s="26">
        <f t="shared" si="1"/>
        <v>0.28736855330940558</v>
      </c>
      <c r="Q6" s="26">
        <f t="shared" si="1"/>
        <v>0.29024223884249967</v>
      </c>
      <c r="R6" s="26">
        <f t="shared" si="1"/>
        <v>0.29314466123092464</v>
      </c>
      <c r="S6" s="26">
        <f t="shared" si="1"/>
        <v>0.2960761078432339</v>
      </c>
      <c r="T6" s="26">
        <f t="shared" si="1"/>
        <v>0.29903686892166625</v>
      </c>
      <c r="U6" s="26">
        <f t="shared" si="1"/>
        <v>0.3020272376108829</v>
      </c>
      <c r="V6" s="26">
        <f t="shared" si="1"/>
        <v>0.30504750998699176</v>
      </c>
      <c r="W6" s="26">
        <f t="shared" si="1"/>
        <v>0.3080979850868617</v>
      </c>
      <c r="X6" s="26">
        <f t="shared" si="1"/>
        <v>0.31117896493773034</v>
      </c>
      <c r="Y6" s="26">
        <f t="shared" si="1"/>
        <v>0.31429075458710765</v>
      </c>
      <c r="Z6" s="26">
        <f t="shared" si="1"/>
        <v>0.31743366213297874</v>
      </c>
      <c r="AA6" s="26">
        <f t="shared" si="1"/>
        <v>0.32060799875430851</v>
      </c>
      <c r="AB6" s="26">
        <f t="shared" si="1"/>
        <v>0.32381407874185159</v>
      </c>
      <c r="AC6" s="26">
        <f t="shared" si="1"/>
        <v>0.32705221952927011</v>
      </c>
      <c r="AD6" s="26">
        <f t="shared" si="1"/>
        <v>0.33032274172456283</v>
      </c>
      <c r="AE6" s="26">
        <f t="shared" si="1"/>
        <v>0.33362596914180848</v>
      </c>
      <c r="AF6" s="26">
        <f t="shared" si="1"/>
        <v>0.33696222883322657</v>
      </c>
      <c r="AG6" s="26">
        <f t="shared" si="1"/>
        <v>0.34033185112155884</v>
      </c>
      <c r="AH6" s="26">
        <f t="shared" si="1"/>
        <v>0.34373516963277445</v>
      </c>
      <c r="AI6" s="26">
        <f t="shared" si="1"/>
        <v>0.3471725213291022</v>
      </c>
      <c r="AJ6" s="26">
        <f t="shared" si="1"/>
        <v>0.35064424654239323</v>
      </c>
      <c r="AK6" s="26">
        <f t="shared" si="1"/>
        <v>0.35415068900781715</v>
      </c>
    </row>
    <row r="7" spans="1:37" x14ac:dyDescent="0.2">
      <c r="A7" s="29" t="s">
        <v>205</v>
      </c>
      <c r="B7" s="45">
        <v>0.01</v>
      </c>
      <c r="C7" s="45">
        <v>0.01</v>
      </c>
      <c r="D7" s="45">
        <v>0.01</v>
      </c>
      <c r="E7" s="45">
        <v>0.01</v>
      </c>
      <c r="F7" s="45">
        <v>0.01</v>
      </c>
      <c r="G7" s="45">
        <v>0.01</v>
      </c>
      <c r="H7" s="45">
        <v>0.01</v>
      </c>
      <c r="I7" s="45">
        <v>0.01</v>
      </c>
      <c r="J7" s="45">
        <v>0.01</v>
      </c>
      <c r="K7" s="45">
        <v>0.01</v>
      </c>
      <c r="L7" s="45">
        <v>0.01</v>
      </c>
      <c r="M7" s="45">
        <v>0.01</v>
      </c>
      <c r="N7" s="45">
        <v>0.01</v>
      </c>
      <c r="O7" s="45">
        <v>0.01</v>
      </c>
      <c r="P7" s="45">
        <v>0.01</v>
      </c>
      <c r="Q7" s="45">
        <v>0.01</v>
      </c>
      <c r="R7" s="45">
        <v>0.01</v>
      </c>
      <c r="S7" s="45">
        <v>0.01</v>
      </c>
      <c r="T7" s="45">
        <v>0.01</v>
      </c>
      <c r="U7" s="45">
        <v>0.01</v>
      </c>
      <c r="V7" s="45">
        <v>0.01</v>
      </c>
      <c r="W7" s="45">
        <v>0.01</v>
      </c>
      <c r="X7" s="45">
        <v>0.01</v>
      </c>
      <c r="Y7" s="45">
        <v>0.01</v>
      </c>
      <c r="Z7" s="45">
        <v>0.01</v>
      </c>
      <c r="AA7" s="45">
        <v>0.01</v>
      </c>
      <c r="AB7" s="45">
        <v>0.01</v>
      </c>
      <c r="AC7" s="45">
        <v>0.01</v>
      </c>
      <c r="AD7" s="45">
        <v>0.01</v>
      </c>
      <c r="AE7" s="45">
        <v>0.01</v>
      </c>
      <c r="AF7" s="45">
        <v>0.01</v>
      </c>
      <c r="AG7" s="45">
        <v>0.01</v>
      </c>
      <c r="AH7" s="45">
        <v>0.01</v>
      </c>
      <c r="AI7" s="45">
        <v>0.01</v>
      </c>
      <c r="AJ7" s="45">
        <v>0.01</v>
      </c>
      <c r="AK7" s="45">
        <v>0.01</v>
      </c>
    </row>
    <row r="8" spans="1:37" x14ac:dyDescent="0.2">
      <c r="A8" s="43" t="s">
        <v>80</v>
      </c>
      <c r="B8" s="48">
        <f>B2*B3*B5*B6</f>
        <v>13500</v>
      </c>
      <c r="C8" s="48">
        <f t="shared" ref="C8:AK8" si="2">C2*C3*C5*C6</f>
        <v>13771.35</v>
      </c>
      <c r="D8" s="48">
        <f t="shared" si="2"/>
        <v>14048.154135000002</v>
      </c>
      <c r="E8" s="48">
        <f t="shared" si="2"/>
        <v>14330.522033113501</v>
      </c>
      <c r="F8" s="48">
        <f t="shared" si="2"/>
        <v>14618.565525979084</v>
      </c>
      <c r="G8" s="48">
        <f t="shared" si="2"/>
        <v>14912.398693051264</v>
      </c>
      <c r="H8" s="48">
        <f t="shared" si="2"/>
        <v>15212.137906781592</v>
      </c>
      <c r="I8" s="48">
        <f t="shared" si="2"/>
        <v>15517.9018787079</v>
      </c>
      <c r="J8" s="48">
        <f t="shared" si="2"/>
        <v>15829.811706469933</v>
      </c>
      <c r="K8" s="48">
        <f t="shared" si="2"/>
        <v>16147.990921769979</v>
      </c>
      <c r="L8" s="48">
        <f t="shared" si="2"/>
        <v>16472.565539297557</v>
      </c>
      <c r="M8" s="48">
        <f t="shared" si="2"/>
        <v>16803.664106637436</v>
      </c>
      <c r="N8" s="48">
        <f t="shared" si="2"/>
        <v>17141.41775518085</v>
      </c>
      <c r="O8" s="48">
        <f t="shared" si="2"/>
        <v>17485.960252059987</v>
      </c>
      <c r="P8" s="48">
        <f t="shared" si="2"/>
        <v>17837.42805312639</v>
      </c>
      <c r="Q8" s="48">
        <f t="shared" si="2"/>
        <v>18195.96035699423</v>
      </c>
      <c r="R8" s="48">
        <f t="shared" si="2"/>
        <v>18561.699160169814</v>
      </c>
      <c r="S8" s="48">
        <f t="shared" si="2"/>
        <v>18934.789313289228</v>
      </c>
      <c r="T8" s="48">
        <f t="shared" si="2"/>
        <v>19315.378578486347</v>
      </c>
      <c r="U8" s="48">
        <f t="shared" si="2"/>
        <v>19703.617687913917</v>
      </c>
      <c r="V8" s="48">
        <f t="shared" si="2"/>
        <v>20099.66040344099</v>
      </c>
      <c r="W8" s="48">
        <f t="shared" si="2"/>
        <v>20503.663577550153</v>
      </c>
      <c r="X8" s="48">
        <f t="shared" si="2"/>
        <v>20915.787215458917</v>
      </c>
      <c r="Y8" s="48">
        <f t="shared" si="2"/>
        <v>21336.194538489643</v>
      </c>
      <c r="Z8" s="48">
        <f t="shared" si="2"/>
        <v>21765.052048713282</v>
      </c>
      <c r="AA8" s="48">
        <f t="shared" si="2"/>
        <v>22202.529594892418</v>
      </c>
      <c r="AB8" s="48">
        <f t="shared" si="2"/>
        <v>22648.800439749753</v>
      </c>
      <c r="AC8" s="48">
        <f t="shared" si="2"/>
        <v>23104.041328588723</v>
      </c>
      <c r="AD8" s="48">
        <f t="shared" si="2"/>
        <v>23568.43255929336</v>
      </c>
      <c r="AE8" s="48">
        <f t="shared" si="2"/>
        <v>24042.158053735158</v>
      </c>
      <c r="AF8" s="48">
        <f t="shared" si="2"/>
        <v>24525.405430615236</v>
      </c>
      <c r="AG8" s="48">
        <f t="shared" si="2"/>
        <v>25018.366079770607</v>
      </c>
      <c r="AH8" s="48">
        <f t="shared" si="2"/>
        <v>25521.235237973997</v>
      </c>
      <c r="AI8" s="48">
        <f t="shared" si="2"/>
        <v>26034.212066257274</v>
      </c>
      <c r="AJ8" s="48">
        <f t="shared" si="2"/>
        <v>26557.499728789047</v>
      </c>
      <c r="AK8" s="48">
        <f t="shared" si="2"/>
        <v>27091.30547333771</v>
      </c>
    </row>
    <row r="9" spans="1:37" x14ac:dyDescent="0.2">
      <c r="A9" s="43"/>
    </row>
    <row r="10" spans="1:37" x14ac:dyDescent="0.2">
      <c r="A10" s="43"/>
    </row>
    <row r="14" spans="1:37" x14ac:dyDescent="0.2">
      <c r="C14" s="44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workbookViewId="0">
      <selection activeCell="C5" sqref="C5"/>
    </sheetView>
  </sheetViews>
  <sheetFormatPr baseColWidth="10" defaultColWidth="8.83203125" defaultRowHeight="15" x14ac:dyDescent="0.2"/>
  <cols>
    <col min="1" max="1" width="7" bestFit="1" customWidth="1"/>
    <col min="2" max="2" width="34.1640625" bestFit="1" customWidth="1"/>
    <col min="3" max="3" width="16.5" bestFit="1" customWidth="1"/>
    <col min="4" max="4" width="18.6640625" bestFit="1" customWidth="1"/>
    <col min="5" max="5" width="20" bestFit="1" customWidth="1"/>
    <col min="6" max="6" width="15.33203125" bestFit="1" customWidth="1"/>
  </cols>
  <sheetData>
    <row r="1" spans="1:6" x14ac:dyDescent="0.2">
      <c r="C1" s="4" t="s">
        <v>45</v>
      </c>
    </row>
    <row r="2" spans="1:6" x14ac:dyDescent="0.2">
      <c r="B2" s="4" t="s">
        <v>46</v>
      </c>
      <c r="C2" s="19">
        <v>45000</v>
      </c>
    </row>
    <row r="3" spans="1:6" x14ac:dyDescent="0.2">
      <c r="B3" s="4" t="s">
        <v>47</v>
      </c>
      <c r="C3" s="20">
        <v>60</v>
      </c>
    </row>
    <row r="4" spans="1:6" x14ac:dyDescent="0.2">
      <c r="B4" s="4" t="s">
        <v>48</v>
      </c>
      <c r="C4" s="18">
        <v>0.08</v>
      </c>
    </row>
    <row r="5" spans="1:6" x14ac:dyDescent="0.2">
      <c r="B5" s="4" t="s">
        <v>49</v>
      </c>
      <c r="C5" s="20">
        <v>1</v>
      </c>
    </row>
    <row r="7" spans="1:6" x14ac:dyDescent="0.2">
      <c r="B7" s="4" t="s">
        <v>45</v>
      </c>
    </row>
    <row r="8" spans="1:6" x14ac:dyDescent="0.2">
      <c r="A8" s="4" t="s">
        <v>17</v>
      </c>
      <c r="B8" s="4" t="s">
        <v>50</v>
      </c>
      <c r="C8" s="4" t="s">
        <v>51</v>
      </c>
      <c r="D8" s="4" t="s">
        <v>52</v>
      </c>
      <c r="E8" s="4" t="s">
        <v>53</v>
      </c>
      <c r="F8" s="4" t="s">
        <v>54</v>
      </c>
    </row>
    <row r="9" spans="1:6" x14ac:dyDescent="0.2">
      <c r="A9">
        <v>1</v>
      </c>
      <c r="B9">
        <f>IF(C5&lt;=1,1,0)</f>
        <v>1</v>
      </c>
      <c r="C9" s="3">
        <f>IF(AND(B9&gt;0,ISNUMBER(B9)),(-PMT((C4/12),C3,C2)),IF(B9=0,0,0))</f>
        <v>912.43774297861557</v>
      </c>
      <c r="D9" s="3">
        <f>IF(B9&lt;C3+1,(F9*C4)/12,0)</f>
        <v>300</v>
      </c>
      <c r="E9" s="3">
        <f>IF(B9&lt;=C3,C9-D9,0)</f>
        <v>612.43774297861557</v>
      </c>
      <c r="F9" s="3">
        <f>IF(AND(B9=1,B9&lt;&gt;0),C2,IF(B9=0,0,IF(AND(B9&gt;1,B9&lt;&gt;0,B9&lt;=C3),F8-E8,0)))</f>
        <v>45000</v>
      </c>
    </row>
    <row r="10" spans="1:6" x14ac:dyDescent="0.2">
      <c r="A10">
        <v>2</v>
      </c>
      <c r="B10">
        <f>IF(A10=C5,1,IF(B9=0,0,IF(B9&lt;C3,(B9+1),0)))</f>
        <v>2</v>
      </c>
      <c r="C10" s="3">
        <f>IF(AND(B10&gt;0,ISNUMBER(B10)),(-PMT((C4/12),C3,C2)),IF(B10=0,0,0))</f>
        <v>912.43774297861557</v>
      </c>
      <c r="D10" s="3">
        <f>IF(B10&lt;C3+1,(F10*C4)/12,0)</f>
        <v>295.91708171347585</v>
      </c>
      <c r="E10" s="3">
        <f>IF(B10&lt;=C3,C10-D10,0)</f>
        <v>616.52066126513978</v>
      </c>
      <c r="F10" s="3">
        <f>IF(AND(B10=1,B10&lt;&gt;0),C2,IF(B10=0,0,IF(AND(B10&gt;1,B10&lt;&gt;0,B10&lt;=C3),F9-E9,0)))</f>
        <v>44387.562257021382</v>
      </c>
    </row>
    <row r="11" spans="1:6" x14ac:dyDescent="0.2">
      <c r="A11">
        <v>3</v>
      </c>
      <c r="B11">
        <f>IF(A11=C5,1,IF(B10=0,0,IF(B10&lt;C3,(B10+1),0)))</f>
        <v>3</v>
      </c>
      <c r="C11" s="3">
        <f>IF(AND(B11&gt;0,ISNUMBER(B11)),(-PMT((C4/12),C3,C2)),IF(B11=0,0,0))</f>
        <v>912.43774297861557</v>
      </c>
      <c r="D11" s="3">
        <f>IF(B11&lt;C3+1,(F11*C4)/12,0)</f>
        <v>291.80694397170828</v>
      </c>
      <c r="E11" s="3">
        <f>IF(B11&lt;=C3,C11-D11,0)</f>
        <v>620.6307990069073</v>
      </c>
      <c r="F11" s="3">
        <f>IF(AND(B11=1,B11&lt;&gt;0),C2,IF(B11=0,0,IF(AND(B11&gt;1,B11&lt;&gt;0,B11&lt;=C3),F10-E10,0)))</f>
        <v>43771.041595756244</v>
      </c>
    </row>
    <row r="12" spans="1:6" x14ac:dyDescent="0.2">
      <c r="A12">
        <v>4</v>
      </c>
      <c r="B12">
        <f>IF(A12=C5,1,IF(B11=0,0,IF(B11&lt;C3,(B11+1),0)))</f>
        <v>4</v>
      </c>
      <c r="C12" s="3">
        <f>IF(AND(B12&gt;0,ISNUMBER(B12)),(-PMT((C4/12),C3,C2)),IF(B12=0,0,0))</f>
        <v>912.43774297861557</v>
      </c>
      <c r="D12" s="3">
        <f>IF(B12&lt;C3+1,(F12*C4)/12,0)</f>
        <v>287.66940531166222</v>
      </c>
      <c r="E12" s="3">
        <f>IF(B12&lt;=C3,C12-D12,0)</f>
        <v>624.76833766695336</v>
      </c>
      <c r="F12" s="3">
        <f>IF(AND(B12=1,B12&lt;&gt;0),C2,IF(B12=0,0,IF(AND(B12&gt;1,B12&lt;&gt;0,B12&lt;=C3),F11-E11,0)))</f>
        <v>43150.410796749333</v>
      </c>
    </row>
    <row r="13" spans="1:6" x14ac:dyDescent="0.2">
      <c r="A13">
        <v>5</v>
      </c>
      <c r="B13">
        <f>IF(A13=C5,1,IF(B12=0,0,IF(B12&lt;C3,(B12+1),0)))</f>
        <v>5</v>
      </c>
      <c r="C13" s="3">
        <f>IF(AND(B13&gt;0,ISNUMBER(B13)),(-PMT((C4/12),C3,C2)),IF(B13=0,0,0))</f>
        <v>912.43774297861557</v>
      </c>
      <c r="D13" s="3">
        <f>IF(B13&lt;C3+1,(F13*C4)/12,0)</f>
        <v>283.5042830605492</v>
      </c>
      <c r="E13" s="3">
        <f>IF(B13&lt;=C3,C13-D13,0)</f>
        <v>628.93345991806632</v>
      </c>
      <c r="F13" s="3">
        <f>IF(AND(B13=1,B13&lt;&gt;0),C2,IF(B13=0,0,IF(AND(B13&gt;1,B13&lt;&gt;0,B13&lt;=C3),F12-E12,0)))</f>
        <v>42525.642459082381</v>
      </c>
    </row>
    <row r="14" spans="1:6" x14ac:dyDescent="0.2">
      <c r="A14">
        <v>6</v>
      </c>
      <c r="B14">
        <f>IF(A14=C5,1,IF(B13=0,0,IF(B13&lt;C3,(B13+1),0)))</f>
        <v>6</v>
      </c>
      <c r="C14" s="3">
        <f>IF(AND(B14&gt;0,ISNUMBER(B14)),(-PMT((C4/12),C3,C2)),IF(B14=0,0,0))</f>
        <v>912.43774297861557</v>
      </c>
      <c r="D14" s="3">
        <f>IF(B14&lt;C3+1,(F14*C4)/12,0)</f>
        <v>279.31139332776212</v>
      </c>
      <c r="E14" s="3">
        <f>IF(B14&lt;=C3,C14-D14,0)</f>
        <v>633.1263496508534</v>
      </c>
      <c r="F14" s="3">
        <f>IF(AND(B14=1,B14&lt;&gt;0),C2,IF(B14=0,0,IF(AND(B14&gt;1,B14&lt;&gt;0,B14&lt;=C3),F13-E13,0)))</f>
        <v>41896.708999164315</v>
      </c>
    </row>
    <row r="15" spans="1:6" x14ac:dyDescent="0.2">
      <c r="A15">
        <v>7</v>
      </c>
      <c r="B15">
        <f>IF(A15=C5,1,IF(B14=0,0,IF(B14&lt;C3,(B14+1),0)))</f>
        <v>7</v>
      </c>
      <c r="C15" s="3">
        <f>IF(AND(B15&gt;0,ISNUMBER(B15)),(-PMT((C4/12),C3,C2)),IF(B15=0,0,0))</f>
        <v>912.43774297861557</v>
      </c>
      <c r="D15" s="3">
        <f>IF(B15&lt;C3+1,(F15*C4)/12,0)</f>
        <v>275.09055099675641</v>
      </c>
      <c r="E15" s="3">
        <f>IF(B15&lt;=C3,C15-D15,0)</f>
        <v>637.34719198185917</v>
      </c>
      <c r="F15" s="3">
        <f>IF(AND(B15=1,B15&lt;&gt;0),C2,IF(B15=0,0,IF(AND(B15&gt;1,B15&lt;&gt;0,B15&lt;=C3),F14-E14,0)))</f>
        <v>41263.582649513461</v>
      </c>
    </row>
    <row r="16" spans="1:6" x14ac:dyDescent="0.2">
      <c r="A16">
        <v>8</v>
      </c>
      <c r="B16">
        <f>IF(A16=C5,1,IF(B15=0,0,IF(B15&lt;C3,(B15+1),0)))</f>
        <v>8</v>
      </c>
      <c r="C16" s="3">
        <f>IF(AND(B16&gt;0,ISNUMBER(B16)),(-PMT((C4/12),C3,C2)),IF(B16=0,0,0))</f>
        <v>912.43774297861557</v>
      </c>
      <c r="D16" s="3">
        <f>IF(B16&lt;C3+1,(F16*C4)/12,0)</f>
        <v>270.84156971687736</v>
      </c>
      <c r="E16" s="3">
        <f>IF(B16&lt;=C3,C16-D16,0)</f>
        <v>641.59617326173816</v>
      </c>
      <c r="F16" s="3">
        <f>IF(AND(B16=1,B16&lt;&gt;0),C2,IF(B16=0,0,IF(AND(B16&gt;1,B16&lt;&gt;0,B16&lt;=C3),F15-E15,0)))</f>
        <v>40626.235457531599</v>
      </c>
    </row>
    <row r="17" spans="1:6" x14ac:dyDescent="0.2">
      <c r="A17">
        <v>9</v>
      </c>
      <c r="B17">
        <f>IF(A17=C5,1,IF(B16=0,0,IF(B16&lt;C3,(B16+1),0)))</f>
        <v>9</v>
      </c>
      <c r="C17" s="3">
        <f>IF(AND(B17&gt;0,ISNUMBER(B17)),(-PMT((C4/12),C3,C2)),IF(B17=0,0,0))</f>
        <v>912.43774297861557</v>
      </c>
      <c r="D17" s="3">
        <f>IF(B17&lt;C3+1,(F17*C4)/12,0)</f>
        <v>266.5642618951324</v>
      </c>
      <c r="E17" s="3">
        <f>IF(B17&lt;=C3,C17-D17,0)</f>
        <v>645.87348108348317</v>
      </c>
      <c r="F17" s="3">
        <f>IF(AND(B17=1,B17&lt;&gt;0),C2,IF(B17=0,0,IF(AND(B17&gt;1,B17&lt;&gt;0,B17&lt;=C3),F16-E16,0)))</f>
        <v>39984.639284269862</v>
      </c>
    </row>
    <row r="18" spans="1:6" x14ac:dyDescent="0.2">
      <c r="A18">
        <v>10</v>
      </c>
      <c r="B18">
        <f>IF(A18=C5,1,IF(B17=0,0,IF(B17&lt;C3,(B17+1),0)))</f>
        <v>10</v>
      </c>
      <c r="C18" s="3">
        <f>IF(AND(B18&gt;0,ISNUMBER(B18)),(-PMT((C4/12),C3,C2)),IF(B18=0,0,0))</f>
        <v>912.43774297861557</v>
      </c>
      <c r="D18" s="3">
        <f>IF(B18&lt;C3+1,(F18*C4)/12,0)</f>
        <v>262.25843868790918</v>
      </c>
      <c r="E18" s="3">
        <f>IF(B18&lt;=C3,C18-D18,0)</f>
        <v>650.17930429070634</v>
      </c>
      <c r="F18" s="3">
        <f>IF(AND(B18=1,B18&lt;&gt;0),C2,IF(B18=0,0,IF(AND(B18&gt;1,B18&lt;&gt;0,B18&lt;=C3),F17-E17,0)))</f>
        <v>39338.765803186376</v>
      </c>
    </row>
    <row r="19" spans="1:6" x14ac:dyDescent="0.2">
      <c r="A19">
        <v>11</v>
      </c>
      <c r="B19">
        <f>IF(A19=C5,1,IF(B18=0,0,IF(B18&lt;C3,(B18+1),0)))</f>
        <v>11</v>
      </c>
      <c r="C19" s="3">
        <f>IF(AND(B19&gt;0,ISNUMBER(B19)),(-PMT((C4/12),C3,C2)),IF(B19=0,0,0))</f>
        <v>912.43774297861557</v>
      </c>
      <c r="D19" s="3">
        <f>IF(B19&lt;C3+1,(F19*C4)/12,0)</f>
        <v>257.92390999263779</v>
      </c>
      <c r="E19" s="3">
        <f>IF(B19&lt;=C3,C19-D19,0)</f>
        <v>654.51383298597784</v>
      </c>
      <c r="F19" s="3">
        <f>IF(AND(B19=1,B19&lt;&gt;0),C2,IF(B19=0,0,IF(AND(B19&gt;1,B19&lt;&gt;0,B19&lt;=C3),F18-E18,0)))</f>
        <v>38688.586498895667</v>
      </c>
    </row>
    <row r="20" spans="1:6" x14ac:dyDescent="0.2">
      <c r="A20">
        <v>12</v>
      </c>
      <c r="B20">
        <f>IF(A20=C5,1,IF(B19=0,0,IF(B19&lt;C3,(B19+1),0)))</f>
        <v>12</v>
      </c>
      <c r="C20" s="3">
        <f>IF(AND(B20&gt;0,ISNUMBER(B20)),(-PMT((C4/12),C3,C2)),IF(B20=0,0,0))</f>
        <v>912.43774297861557</v>
      </c>
      <c r="D20" s="3">
        <f>IF(B20&lt;C3+1,(F20*C4)/12,0)</f>
        <v>253.56048443939792</v>
      </c>
      <c r="E20" s="3">
        <f>IF(B20&lt;=C3,C20-D20,0)</f>
        <v>658.87725853921768</v>
      </c>
      <c r="F20" s="3">
        <f>IF(AND(B20=1,B20&lt;&gt;0),C2,IF(B20=0,0,IF(AND(B20&gt;1,B20&lt;&gt;0,B20&lt;=C3),F19-E19,0)))</f>
        <v>38034.072665909691</v>
      </c>
    </row>
    <row r="21" spans="1:6" x14ac:dyDescent="0.2">
      <c r="A21">
        <v>13</v>
      </c>
      <c r="B21">
        <f>IF(A21=C5,1,IF(B20=0,0,IF(B20&lt;C3,(B20+1),0)))</f>
        <v>13</v>
      </c>
      <c r="C21" s="3">
        <f>IF(AND(B21&gt;0,ISNUMBER(B21)),(-PMT((C4/12),C3,C2)),IF(B21=0,0,0))</f>
        <v>912.43774297861557</v>
      </c>
      <c r="D21" s="3">
        <f>IF(B21&lt;C3+1,(F21*C4)/12,0)</f>
        <v>249.16796938246986</v>
      </c>
      <c r="E21" s="3">
        <f>IF(B21&lt;=C3,C21-D21,0)</f>
        <v>663.26977359614568</v>
      </c>
      <c r="F21" s="3">
        <f>IF(AND(B21=1,B21&lt;&gt;0),C2,IF(B21=0,0,IF(AND(B21&gt;1,B21&lt;&gt;0,B21&lt;=C3),F20-E20,0)))</f>
        <v>37375.195407370476</v>
      </c>
    </row>
    <row r="22" spans="1:6" x14ac:dyDescent="0.2">
      <c r="A22">
        <v>14</v>
      </c>
      <c r="B22">
        <f>IF(A22=C5,1,IF(B21=0,0,IF(B21&lt;C3,(B21+1),0)))</f>
        <v>14</v>
      </c>
      <c r="C22" s="3">
        <f>IF(AND(B22&gt;0,ISNUMBER(B22)),(-PMT((C4/12),C3,C2)),IF(B22=0,0,0))</f>
        <v>912.43774297861557</v>
      </c>
      <c r="D22" s="3">
        <f>IF(B22&lt;C3+1,(F22*C4)/12,0)</f>
        <v>244.74617089182888</v>
      </c>
      <c r="E22" s="3">
        <f>IF(B22&lt;=C3,C22-D22,0)</f>
        <v>667.69157208678666</v>
      </c>
      <c r="F22" s="3">
        <f>IF(AND(B22=1,B22&lt;&gt;0),C2,IF(B22=0,0,IF(AND(B22&gt;1,B22&lt;&gt;0,B22&lt;=C3),F21-E21,0)))</f>
        <v>36711.925633774328</v>
      </c>
    </row>
    <row r="23" spans="1:6" x14ac:dyDescent="0.2">
      <c r="A23">
        <v>15</v>
      </c>
      <c r="B23">
        <f>IF(A23=C5,1,IF(B22=0,0,IF(B22&lt;C3,(B22+1),0)))</f>
        <v>15</v>
      </c>
      <c r="C23" s="3">
        <f>IF(AND(B23&gt;0,ISNUMBER(B23)),(-PMT((C4/12),C3,C2)),IF(B23=0,0,0))</f>
        <v>912.43774297861557</v>
      </c>
      <c r="D23" s="3">
        <f>IF(B23&lt;C3+1,(F23*C4)/12,0)</f>
        <v>240.29489374458365</v>
      </c>
      <c r="E23" s="3">
        <f>IF(B23&lt;=C3,C23-D23,0)</f>
        <v>672.14284923403193</v>
      </c>
      <c r="F23" s="3">
        <f>IF(AND(B23=1,B23&lt;&gt;0),C2,IF(B23=0,0,IF(AND(B23&gt;1,B23&lt;&gt;0,B23&lt;=C3),F22-E22,0)))</f>
        <v>36044.234061687544</v>
      </c>
    </row>
    <row r="24" spans="1:6" x14ac:dyDescent="0.2">
      <c r="A24">
        <v>16</v>
      </c>
      <c r="B24">
        <f>IF(A24=C5,1,IF(B23=0,0,IF(B23&lt;C3,(B23+1),0)))</f>
        <v>16</v>
      </c>
      <c r="C24" s="3">
        <f>IF(AND(B24&gt;0,ISNUMBER(B24)),(-PMT((C4/12),C3,C2)),IF(B24=0,0,0))</f>
        <v>912.43774297861557</v>
      </c>
      <c r="D24" s="3">
        <f>IF(B24&lt;C3+1,(F24*C4)/12,0)</f>
        <v>235.81394141635676</v>
      </c>
      <c r="E24" s="3">
        <f>IF(B24&lt;=C3,C24-D24,0)</f>
        <v>676.62380156225879</v>
      </c>
      <c r="F24" s="3">
        <f>IF(AND(B24=1,B24&lt;&gt;0),C2,IF(B24=0,0,IF(AND(B24&gt;1,B24&lt;&gt;0,B24&lt;=C3),F23-E23,0)))</f>
        <v>35372.09121245351</v>
      </c>
    </row>
    <row r="25" spans="1:6" x14ac:dyDescent="0.2">
      <c r="A25">
        <v>17</v>
      </c>
      <c r="B25">
        <f>IF(A25=C5,1,IF(B24=0,0,IF(B24&lt;C3,(B24+1),0)))</f>
        <v>17</v>
      </c>
      <c r="C25" s="3">
        <f>IF(AND(B25&gt;0,ISNUMBER(B25)),(-PMT((C4/12),C3,C2)),IF(B25=0,0,0))</f>
        <v>912.43774297861557</v>
      </c>
      <c r="D25" s="3">
        <f>IF(B25&lt;C3+1,(F25*C4)/12,0)</f>
        <v>231.30311607260833</v>
      </c>
      <c r="E25" s="3">
        <f>IF(B25&lt;=C3,C25-D25,0)</f>
        <v>681.13462690600727</v>
      </c>
      <c r="F25" s="3">
        <f>IF(AND(B25=1,B25&lt;&gt;0),C2,IF(B25=0,0,IF(AND(B25&gt;1,B25&lt;&gt;0,B25&lt;=C3),F24-E24,0)))</f>
        <v>34695.467410891251</v>
      </c>
    </row>
    <row r="26" spans="1:6" x14ac:dyDescent="0.2">
      <c r="A26">
        <v>18</v>
      </c>
      <c r="B26">
        <f>IF(A26=C5,1,IF(B25=0,0,IF(B25&lt;C3,(B25+1),0)))</f>
        <v>18</v>
      </c>
      <c r="C26" s="3">
        <f>IF(AND(B26&gt;0,ISNUMBER(B26)),(-PMT((C4/12),C3,C2)),IF(B26=0,0,0))</f>
        <v>912.43774297861557</v>
      </c>
      <c r="D26" s="3">
        <f>IF(B26&lt;C3+1,(F26*C4)/12,0)</f>
        <v>226.76221855990161</v>
      </c>
      <c r="E26" s="3">
        <f>IF(B26&lt;=C3,C26-D26,0)</f>
        <v>685.67552441871396</v>
      </c>
      <c r="F26" s="3">
        <f>IF(AND(B26=1,B26&lt;&gt;0),C2,IF(B26=0,0,IF(AND(B26&gt;1,B26&lt;&gt;0,B26&lt;=C3),F25-E25,0)))</f>
        <v>34014.332783985243</v>
      </c>
    </row>
    <row r="27" spans="1:6" x14ac:dyDescent="0.2">
      <c r="A27">
        <v>19</v>
      </c>
      <c r="B27">
        <f>IF(A27=C5,1,IF(B26=0,0,IF(B26&lt;C3,(B26+1),0)))</f>
        <v>19</v>
      </c>
      <c r="C27" s="3">
        <f>IF(AND(B27&gt;0,ISNUMBER(B27)),(-PMT((C4/12),C3,C2)),IF(B27=0,0,0))</f>
        <v>912.43774297861557</v>
      </c>
      <c r="D27" s="3">
        <f>IF(B27&lt;C3+1,(F27*C4)/12,0)</f>
        <v>222.19104839711019</v>
      </c>
      <c r="E27" s="3">
        <f>IF(B27&lt;=C3,C27-D27,0)</f>
        <v>690.24669458150538</v>
      </c>
      <c r="F27" s="3">
        <f>IF(AND(B27=1,B27&lt;&gt;0),C2,IF(B27=0,0,IF(AND(B27&gt;1,B27&lt;&gt;0,B27&lt;=C3),F26-E26,0)))</f>
        <v>33328.657259566528</v>
      </c>
    </row>
    <row r="28" spans="1:6" x14ac:dyDescent="0.2">
      <c r="A28">
        <v>20</v>
      </c>
      <c r="B28">
        <f>IF(A28=C5,1,IF(B27=0,0,IF(B27&lt;C3,(B27+1),0)))</f>
        <v>20</v>
      </c>
      <c r="C28" s="3">
        <f>IF(AND(B28&gt;0,ISNUMBER(B28)),(-PMT((C4/12),C3,C2)),IF(B28=0,0,0))</f>
        <v>912.43774297861557</v>
      </c>
      <c r="D28" s="3">
        <f>IF(B28&lt;C3+1,(F28*C4)/12,0)</f>
        <v>217.58940376656679</v>
      </c>
      <c r="E28" s="3">
        <f>IF(B28&lt;=C3,C28-D28,0)</f>
        <v>694.84833921204881</v>
      </c>
      <c r="F28" s="3">
        <f>IF(AND(B28=1,B28&lt;&gt;0),C2,IF(B28=0,0,IF(AND(B28&gt;1,B28&lt;&gt;0,B28&lt;=C3),F27-E27,0)))</f>
        <v>32638.410564985021</v>
      </c>
    </row>
    <row r="29" spans="1:6" x14ac:dyDescent="0.2">
      <c r="A29">
        <v>21</v>
      </c>
      <c r="B29">
        <f>IF(A29=C5,1,IF(B28=0,0,IF(B28&lt;C3,(B28+1),0)))</f>
        <v>21</v>
      </c>
      <c r="C29" s="3">
        <f>IF(AND(B29&gt;0,ISNUMBER(B29)),(-PMT((C4/12),C3,C2)),IF(B29=0,0,0))</f>
        <v>912.43774297861557</v>
      </c>
      <c r="D29" s="3">
        <f>IF(B29&lt;C3+1,(F29*C4)/12,0)</f>
        <v>212.95708150515316</v>
      </c>
      <c r="E29" s="3">
        <f>IF(B29&lt;=C3,C29-D29,0)</f>
        <v>699.48066147346242</v>
      </c>
      <c r="F29" s="3">
        <f>IF(AND(B29=1,B29&lt;&gt;0),C2,IF(B29=0,0,IF(AND(B29&gt;1,B29&lt;&gt;0,B29&lt;=C3),F28-E28,0)))</f>
        <v>31943.56222577297</v>
      </c>
    </row>
    <row r="30" spans="1:6" x14ac:dyDescent="0.2">
      <c r="A30">
        <v>22</v>
      </c>
      <c r="B30">
        <f>IF(A30=C5,1,IF(B29=0,0,IF(B29&lt;C3,(B29+1),0)))</f>
        <v>22</v>
      </c>
      <c r="C30" s="3">
        <f>IF(AND(B30&gt;0,ISNUMBER(B30)),(-PMT((C4/12),C3,C2)),IF(B30=0,0,0))</f>
        <v>912.43774297861557</v>
      </c>
      <c r="D30" s="3">
        <f>IF(B30&lt;C3+1,(F30*C4)/12,0)</f>
        <v>208.29387709533003</v>
      </c>
      <c r="E30" s="3">
        <f>IF(B30&lt;=C3,C30-D30,0)</f>
        <v>704.14386588328557</v>
      </c>
      <c r="F30" s="3">
        <f>IF(AND(B30=1,B30&lt;&gt;0),C2,IF(B30=0,0,IF(AND(B30&gt;1,B30&lt;&gt;0,B30&lt;=C3),F29-E29,0)))</f>
        <v>31244.081564299508</v>
      </c>
    </row>
    <row r="31" spans="1:6" x14ac:dyDescent="0.2">
      <c r="A31">
        <v>23</v>
      </c>
      <c r="B31">
        <f>IF(A31=C5,1,IF(B30=0,0,IF(B30&lt;C3,(B30+1),0)))</f>
        <v>23</v>
      </c>
      <c r="C31" s="3">
        <f>IF(AND(B31&gt;0,ISNUMBER(B31)),(-PMT((C4/12),C3,C2)),IF(B31=0,0,0))</f>
        <v>912.43774297861557</v>
      </c>
      <c r="D31" s="3">
        <f>IF(B31&lt;C3+1,(F31*C4)/12,0)</f>
        <v>203.59958465610816</v>
      </c>
      <c r="E31" s="3">
        <f>IF(B31&lt;=C3,C31-D31,0)</f>
        <v>708.83815832250741</v>
      </c>
      <c r="F31" s="3">
        <f>IF(AND(B31=1,B31&lt;&gt;0),C2,IF(B31=0,0,IF(AND(B31&gt;1,B31&lt;&gt;0,B31&lt;=C3),F30-E30,0)))</f>
        <v>30539.937698416223</v>
      </c>
    </row>
    <row r="32" spans="1:6" x14ac:dyDescent="0.2">
      <c r="A32">
        <v>24</v>
      </c>
      <c r="B32">
        <f>IF(A32=C5,1,IF(B31=0,0,IF(B31&lt;C3,(B31+1),0)))</f>
        <v>24</v>
      </c>
      <c r="C32" s="3">
        <f>IF(AND(B32&gt;0,ISNUMBER(B32)),(-PMT((C4/12),C3,C2)),IF(B32=0,0,0))</f>
        <v>912.43774297861557</v>
      </c>
      <c r="D32" s="3">
        <f>IF(B32&lt;C3+1,(F32*C4)/12,0)</f>
        <v>198.8739969339581</v>
      </c>
      <c r="E32" s="3">
        <f>IF(B32&lt;=C3,C32-D32,0)</f>
        <v>713.56374604465748</v>
      </c>
      <c r="F32" s="3">
        <f>IF(AND(B32=1,B32&lt;&gt;0),C2,IF(B32=0,0,IF(AND(B32&gt;1,B32&lt;&gt;0,B32&lt;=C3),F31-E31,0)))</f>
        <v>29831.099540093714</v>
      </c>
    </row>
    <row r="33" spans="1:6" x14ac:dyDescent="0.2">
      <c r="A33">
        <v>25</v>
      </c>
      <c r="B33">
        <f>IF(A33=C5,1,IF(B32=0,0,IF(B32&lt;C3,(B32+1),0)))</f>
        <v>25</v>
      </c>
      <c r="C33" s="3">
        <f>IF(AND(B33&gt;0,ISNUMBER(B33)),(-PMT((C4/12),C3,C2)),IF(B33=0,0,0))</f>
        <v>912.43774297861557</v>
      </c>
      <c r="D33" s="3">
        <f>IF(B33&lt;C3+1,(F33*C4)/12,0)</f>
        <v>194.11690529366038</v>
      </c>
      <c r="E33" s="3">
        <f>IF(B33&lt;=C3,C33-D33,0)</f>
        <v>718.32083768495522</v>
      </c>
      <c r="F33" s="3">
        <f>IF(AND(B33=1,B33&lt;&gt;0),C2,IF(B33=0,0,IF(AND(B33&gt;1,B33&lt;&gt;0,B33&lt;=C3),F32-E32,0)))</f>
        <v>29117.535794049058</v>
      </c>
    </row>
    <row r="34" spans="1:6" x14ac:dyDescent="0.2">
      <c r="A34">
        <v>26</v>
      </c>
      <c r="B34">
        <f>IF(A34=C5,1,IF(B33=0,0,IF(B33&lt;C3,(B33+1),0)))</f>
        <v>26</v>
      </c>
      <c r="C34" s="3">
        <f>IF(AND(B34&gt;0,ISNUMBER(B34)),(-PMT((C4/12),C3,C2)),IF(B34=0,0,0))</f>
        <v>912.43774297861557</v>
      </c>
      <c r="D34" s="3">
        <f>IF(B34&lt;C3+1,(F34*C4)/12,0)</f>
        <v>189.328099709094</v>
      </c>
      <c r="E34" s="3">
        <f>IF(B34&lt;=C3,C34-D34,0)</f>
        <v>723.1096432695216</v>
      </c>
      <c r="F34" s="3">
        <f>IF(AND(B34=1,B34&lt;&gt;0),C2,IF(B34=0,0,IF(AND(B34&gt;1,B34&lt;&gt;0,B34&lt;=C3),F33-E33,0)))</f>
        <v>28399.214956364103</v>
      </c>
    </row>
    <row r="35" spans="1:6" x14ac:dyDescent="0.2">
      <c r="A35">
        <v>27</v>
      </c>
      <c r="B35">
        <f>IF(A35=C5,1,IF(B34=0,0,IF(B34&lt;C3,(B34+1),0)))</f>
        <v>27</v>
      </c>
      <c r="C35" s="3">
        <f>IF(AND(B35&gt;0,ISNUMBER(B35)),(-PMT((C4/12),C3,C2)),IF(B35=0,0,0))</f>
        <v>912.43774297861557</v>
      </c>
      <c r="D35" s="3">
        <f>IF(B35&lt;C3+1,(F35*C4)/12,0)</f>
        <v>184.50736875396387</v>
      </c>
      <c r="E35" s="3">
        <f>IF(B35&lt;=C3,C35-D35,0)</f>
        <v>727.9303742246517</v>
      </c>
      <c r="F35" s="3">
        <f>IF(AND(B35=1,B35&lt;&gt;0),C2,IF(B35=0,0,IF(AND(B35&gt;1,B35&lt;&gt;0,B35&lt;=C3),F34-E34,0)))</f>
        <v>27676.10531309458</v>
      </c>
    </row>
    <row r="36" spans="1:6" x14ac:dyDescent="0.2">
      <c r="A36">
        <v>28</v>
      </c>
      <c r="B36">
        <f>IF(A36=C5,1,IF(B35=0,0,IF(B35&lt;C3,(B35+1),0)))</f>
        <v>28</v>
      </c>
      <c r="C36" s="3">
        <f>IF(AND(B36&gt;0,ISNUMBER(B36)),(-PMT((C4/12),C3,C2)),IF(B36=0,0,0))</f>
        <v>912.43774297861557</v>
      </c>
      <c r="D36" s="3">
        <f>IF(B36&lt;C3+1,(F36*C4)/12,0)</f>
        <v>179.65449959246621</v>
      </c>
      <c r="E36" s="3">
        <f>IF(B36&lt;=C3,C36-D36,0)</f>
        <v>732.78324338614937</v>
      </c>
      <c r="F36" s="3">
        <f>IF(AND(B36=1,B36&lt;&gt;0),C2,IF(B36=0,0,IF(AND(B36&gt;1,B36&lt;&gt;0,B36&lt;=C3),F35-E35,0)))</f>
        <v>26948.174938869928</v>
      </c>
    </row>
    <row r="37" spans="1:6" x14ac:dyDescent="0.2">
      <c r="A37">
        <v>29</v>
      </c>
      <c r="B37">
        <f>IF(A37=C5,1,IF(B36=0,0,IF(B36&lt;C3,(B36+1),0)))</f>
        <v>29</v>
      </c>
      <c r="C37" s="3">
        <f>IF(AND(B37&gt;0,ISNUMBER(B37)),(-PMT((C4/12),C3,C2)),IF(B37=0,0,0))</f>
        <v>912.43774297861557</v>
      </c>
      <c r="D37" s="3">
        <f>IF(B37&lt;C3+1,(F37*C4)/12,0)</f>
        <v>174.76927796989187</v>
      </c>
      <c r="E37" s="3">
        <f>IF(B37&lt;=C3,C37-D37,0)</f>
        <v>737.66846500872373</v>
      </c>
      <c r="F37" s="3">
        <f>IF(AND(B37=1,B37&lt;&gt;0),C2,IF(B37=0,0,IF(AND(B37&gt;1,B37&lt;&gt;0,B37&lt;=C3),F36-E36,0)))</f>
        <v>26215.39169548378</v>
      </c>
    </row>
    <row r="38" spans="1:6" x14ac:dyDescent="0.2">
      <c r="A38">
        <v>30</v>
      </c>
      <c r="B38">
        <f>IF(A38=C5,1,IF(B37=0,0,IF(B37&lt;C3,(B37+1),0)))</f>
        <v>30</v>
      </c>
      <c r="C38" s="3">
        <f>IF(AND(B38&gt;0,ISNUMBER(B38)),(-PMT((C4/12),C3,C2)),IF(B38=0,0,0))</f>
        <v>912.43774297861557</v>
      </c>
      <c r="D38" s="3">
        <f>IF(B38&lt;C3+1,(F38*C4)/12,0)</f>
        <v>169.85148820316707</v>
      </c>
      <c r="E38" s="3">
        <f>IF(B38&lt;=C3,C38-D38,0)</f>
        <v>742.58625477544854</v>
      </c>
      <c r="F38" s="3">
        <f>IF(AND(B38=1,B38&lt;&gt;0),C2,IF(B38=0,0,IF(AND(B38&gt;1,B38&lt;&gt;0,B38&lt;=C3),F37-E37,0)))</f>
        <v>25477.723230475058</v>
      </c>
    </row>
    <row r="39" spans="1:6" x14ac:dyDescent="0.2">
      <c r="A39">
        <v>31</v>
      </c>
      <c r="B39">
        <f>IF(A39=C5,1,IF(B38=0,0,IF(B38&lt;C3,(B38+1),0)))</f>
        <v>31</v>
      </c>
      <c r="C39" s="3">
        <f>IF(AND(B39&gt;0,ISNUMBER(B39)),(-PMT((C4/12),C3,C2)),IF(B39=0,0,0))</f>
        <v>912.43774297861557</v>
      </c>
      <c r="D39" s="3">
        <f>IF(B39&lt;C3+1,(F39*C4)/12,0)</f>
        <v>164.90091317133073</v>
      </c>
      <c r="E39" s="3">
        <f>IF(B39&lt;=C3,C39-D39,0)</f>
        <v>747.5368298072849</v>
      </c>
      <c r="F39" s="3">
        <f>IF(AND(B39=1,B39&lt;&gt;0),C2,IF(B39=0,0,IF(AND(B39&gt;1,B39&lt;&gt;0,B39&lt;=C3),F38-E38,0)))</f>
        <v>24735.13697569961</v>
      </c>
    </row>
    <row r="40" spans="1:6" x14ac:dyDescent="0.2">
      <c r="A40">
        <v>32</v>
      </c>
      <c r="B40">
        <f>IF(A40=C5,1,IF(B39=0,0,IF(B39&lt;C3,(B39+1),0)))</f>
        <v>32</v>
      </c>
      <c r="C40" s="3">
        <f>IF(AND(B40&gt;0,ISNUMBER(B40)),(-PMT((C4/12),C3,C2)),IF(B40=0,0,0))</f>
        <v>912.43774297861557</v>
      </c>
      <c r="D40" s="3">
        <f>IF(B40&lt;C3+1,(F40*C4)/12,0)</f>
        <v>159.91733430594883</v>
      </c>
      <c r="E40" s="3">
        <f>IF(B40&lt;=C3,C40-D40,0)</f>
        <v>752.52040867266669</v>
      </c>
      <c r="F40" s="3">
        <f>IF(AND(B40=1,B40&lt;&gt;0),C2,IF(B40=0,0,IF(AND(B40&gt;1,B40&lt;&gt;0,B40&lt;=C3),F39-E39,0)))</f>
        <v>23987.600145892324</v>
      </c>
    </row>
    <row r="41" spans="1:6" x14ac:dyDescent="0.2">
      <c r="A41">
        <v>33</v>
      </c>
      <c r="B41">
        <f>IF(A41=C5,1,IF(B40=0,0,IF(B40&lt;C3,(B40+1),0)))</f>
        <v>33</v>
      </c>
      <c r="C41" s="3">
        <f>IF(AND(B41&gt;0,ISNUMBER(B41)),(-PMT((C4/12),C3,C2)),IF(B41=0,0,0))</f>
        <v>912.43774297861557</v>
      </c>
      <c r="D41" s="3">
        <f>IF(B41&lt;C3+1,(F41*C4)/12,0)</f>
        <v>154.90053158146438</v>
      </c>
      <c r="E41" s="3">
        <f>IF(B41&lt;=C3,C41-D41,0)</f>
        <v>757.53721139715117</v>
      </c>
      <c r="F41" s="3">
        <f>IF(AND(B41=1,B41&lt;&gt;0),C2,IF(B41=0,0,IF(AND(B41&gt;1,B41&lt;&gt;0,B41&lt;=C3),F40-E40,0)))</f>
        <v>23235.079737219658</v>
      </c>
    </row>
    <row r="42" spans="1:6" x14ac:dyDescent="0.2">
      <c r="A42">
        <v>34</v>
      </c>
      <c r="B42">
        <f>IF(A42=C5,1,IF(B41=0,0,IF(B41&lt;C3,(B41+1),0)))</f>
        <v>34</v>
      </c>
      <c r="C42" s="3">
        <f>IF(AND(B42&gt;0,ISNUMBER(B42)),(-PMT((C4/12),C3,C2)),IF(B42=0,0,0))</f>
        <v>912.43774297861557</v>
      </c>
      <c r="D42" s="3">
        <f>IF(B42&lt;C3+1,(F42*C4)/12,0)</f>
        <v>149.85028350548339</v>
      </c>
      <c r="E42" s="3">
        <f>IF(B42&lt;=C3,C42-D42,0)</f>
        <v>762.58745947313218</v>
      </c>
      <c r="F42" s="3">
        <f>IF(AND(B42=1,B42&lt;&gt;0),C2,IF(B42=0,0,IF(AND(B42&gt;1,B42&lt;&gt;0,B42&lt;=C3),F41-E41,0)))</f>
        <v>22477.542525822508</v>
      </c>
    </row>
    <row r="43" spans="1:6" x14ac:dyDescent="0.2">
      <c r="A43">
        <v>35</v>
      </c>
      <c r="B43">
        <f>IF(A43=C5,1,IF(B42=0,0,IF(B42&lt;C3,(B42+1),0)))</f>
        <v>35</v>
      </c>
      <c r="C43" s="3">
        <f>IF(AND(B43&gt;0,ISNUMBER(B43)),(-PMT((C4/12),C3,C2)),IF(B43=0,0,0))</f>
        <v>912.43774297861557</v>
      </c>
      <c r="D43" s="3">
        <f>IF(B43&lt;C3+1,(F43*C4)/12,0)</f>
        <v>144.76636710899584</v>
      </c>
      <c r="E43" s="3">
        <f>IF(B43&lt;=C3,C43-D43,0)</f>
        <v>767.67137586961974</v>
      </c>
      <c r="F43" s="3">
        <f>IF(AND(B43=1,B43&lt;&gt;0),C2,IF(B43=0,0,IF(AND(B43&gt;1,B43&lt;&gt;0,B43&lt;=C3),F42-E42,0)))</f>
        <v>21714.955066349376</v>
      </c>
    </row>
    <row r="44" spans="1:6" x14ac:dyDescent="0.2">
      <c r="A44">
        <v>36</v>
      </c>
      <c r="B44">
        <f>IF(A44=C5,1,IF(B43=0,0,IF(B43&lt;C3,(B43+1),0)))</f>
        <v>36</v>
      </c>
      <c r="C44" s="3">
        <f>IF(AND(B44&gt;0,ISNUMBER(B44)),(-PMT((C4/12),C3,C2)),IF(B44=0,0,0))</f>
        <v>912.43774297861557</v>
      </c>
      <c r="D44" s="3">
        <f>IF(B44&lt;C3+1,(F44*C4)/12,0)</f>
        <v>139.64855793653172</v>
      </c>
      <c r="E44" s="3">
        <f>IF(B44&lt;=C3,C44-D44,0)</f>
        <v>772.78918504208389</v>
      </c>
      <c r="F44" s="3">
        <f>IF(AND(B44=1,B44&lt;&gt;0),C2,IF(B44=0,0,IF(AND(B44&gt;1,B44&lt;&gt;0,B44&lt;=C3),F43-E43,0)))</f>
        <v>20947.283690479755</v>
      </c>
    </row>
    <row r="45" spans="1:6" x14ac:dyDescent="0.2">
      <c r="A45">
        <v>37</v>
      </c>
      <c r="B45">
        <f>IF(A45=C5,1,IF(B44=0,0,IF(B44&lt;C3,(B44+1),0)))</f>
        <v>37</v>
      </c>
      <c r="C45" s="3">
        <f>IF(AND(B45&gt;0,ISNUMBER(B45)),(-PMT((C4/12),C3,C2)),IF(B45=0,0,0))</f>
        <v>912.43774297861557</v>
      </c>
      <c r="D45" s="3">
        <f>IF(B45&lt;C3+1,(F45*C4)/12,0)</f>
        <v>134.49663003625113</v>
      </c>
      <c r="E45" s="3">
        <f>IF(B45&lt;=C3,C45-D45,0)</f>
        <v>777.9411129423645</v>
      </c>
      <c r="F45" s="3">
        <f>IF(AND(B45=1,B45&lt;&gt;0),C2,IF(B45=0,0,IF(AND(B45&gt;1,B45&lt;&gt;0,B45&lt;=C3),F44-E44,0)))</f>
        <v>20174.494505437669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"/>
  <sheetViews>
    <sheetView workbookViewId="0">
      <selection activeCell="G3" sqref="G3"/>
    </sheetView>
  </sheetViews>
  <sheetFormatPr baseColWidth="10" defaultColWidth="8.83203125" defaultRowHeight="15" x14ac:dyDescent="0.2"/>
  <cols>
    <col min="1" max="1" width="23.5" bestFit="1" customWidth="1"/>
    <col min="2" max="2" width="16.5" bestFit="1" customWidth="1"/>
    <col min="3" max="3" width="17.5" bestFit="1" customWidth="1"/>
    <col min="4" max="4" width="11.6640625" bestFit="1" customWidth="1"/>
    <col min="5" max="5" width="16.5" bestFit="1" customWidth="1"/>
    <col min="6" max="6" width="15.33203125" bestFit="1" customWidth="1"/>
    <col min="7" max="7" width="35.33203125" bestFit="1" customWidth="1"/>
    <col min="8" max="37" width="11.6640625" bestFit="1" customWidth="1"/>
  </cols>
  <sheetData>
    <row r="1" spans="1:37" x14ac:dyDescent="0.2">
      <c r="A1" s="4" t="s">
        <v>55</v>
      </c>
      <c r="B1" s="4" t="s">
        <v>56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</row>
    <row r="2" spans="1:37" x14ac:dyDescent="0.2">
      <c r="A2" s="41" t="s">
        <v>55</v>
      </c>
      <c r="B2" s="19">
        <v>0</v>
      </c>
      <c r="C2" s="18">
        <v>0</v>
      </c>
      <c r="D2" s="19">
        <v>0</v>
      </c>
      <c r="E2" s="20">
        <v>0</v>
      </c>
      <c r="F2" s="20">
        <v>0</v>
      </c>
      <c r="G2" s="20">
        <v>0</v>
      </c>
    </row>
    <row r="3" spans="1:37" x14ac:dyDescent="0.2">
      <c r="A3" s="41" t="s">
        <v>55</v>
      </c>
      <c r="B3" s="19">
        <v>0</v>
      </c>
      <c r="C3" s="18">
        <v>0</v>
      </c>
      <c r="D3" s="19">
        <v>0</v>
      </c>
      <c r="E3" s="20">
        <v>0</v>
      </c>
      <c r="F3" s="20">
        <v>0</v>
      </c>
      <c r="G3" s="20">
        <v>0</v>
      </c>
    </row>
    <row r="6" spans="1:37" x14ac:dyDescent="0.2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</row>
    <row r="7" spans="1:37" x14ac:dyDescent="0.2">
      <c r="A7" t="str">
        <f>A2</f>
        <v>Job Title</v>
      </c>
      <c r="B7" s="3">
        <f>IF(AND(B6&gt;=E2,B6&lt;=F2),((B2*(1+C2)+D2)/12),0)*G2</f>
        <v>0</v>
      </c>
      <c r="C7" s="3">
        <f>IF(AND(C6&gt;=E2,C6&lt;=F2),((B2*(1+C2)+D2)/12),0)*G2</f>
        <v>0</v>
      </c>
      <c r="D7" s="3">
        <f>IF(AND(D6&gt;=E2,D6&lt;=F2),((B2*(1+C2)+D2)/12),0)*G2</f>
        <v>0</v>
      </c>
      <c r="E7" s="3">
        <f>IF(AND(E6&gt;=E2,E6&lt;=F2),((B2*(1+C2)+D2)/12),0)*G2</f>
        <v>0</v>
      </c>
      <c r="F7" s="3">
        <f>IF(AND(F6&gt;=E2,F6&lt;=F2),((B2*(1+C2)+D2)/12),0)*G2</f>
        <v>0</v>
      </c>
      <c r="G7" s="3">
        <f>IF(AND(G6&gt;=E2,G6&lt;=F2),((B2*(1+C2)+D2)/12),0)*G2</f>
        <v>0</v>
      </c>
      <c r="H7" s="3">
        <f>IF(AND(H6&gt;=E2,H6&lt;=F2),((B2*(1+C2)+D2)/12),0)*G2</f>
        <v>0</v>
      </c>
      <c r="I7" s="3">
        <f>IF(AND(I6&gt;=E2,I6&lt;=F2),((B2*(1+C2)+D2)/12),0)*G2</f>
        <v>0</v>
      </c>
      <c r="J7" s="3">
        <f>IF(AND(J6&gt;=E2,J6&lt;=F2),((B2*(1+C2)+D2)/12),0)*G2</f>
        <v>0</v>
      </c>
      <c r="K7" s="3">
        <f>IF(AND(K6&gt;=E2,K6&lt;=F2),((B2*(1+C2)+D2)/12),0)*G2</f>
        <v>0</v>
      </c>
      <c r="L7" s="3">
        <f>IF(AND(L6&gt;=E2,L6&lt;=F2),((B2*(1+C2)+D2)/12),0)*G2</f>
        <v>0</v>
      </c>
      <c r="M7" s="3">
        <f>IF(AND(M6&gt;=E2,M6&lt;=F2),((B2*(1+C2)+D2)/12),0)*G2</f>
        <v>0</v>
      </c>
      <c r="N7" s="3">
        <f>IF(AND(N6&gt;=E2,N6&lt;=F2),((B2*(1+C2)+D2)/12),0)*G2</f>
        <v>0</v>
      </c>
      <c r="O7" s="3">
        <f>IF(AND(O6&gt;=E2,O6&lt;=F2),((B2*(1+C2)+D2)/12),0)*G2</f>
        <v>0</v>
      </c>
      <c r="P7" s="3">
        <f>IF(AND(P6&gt;=E2,P6&lt;=F2),((B2*(1+C2)+D2)/12),0)*G2</f>
        <v>0</v>
      </c>
      <c r="Q7" s="3">
        <f>IF(AND(Q6&gt;=E2,Q6&lt;=F2),((B2*(1+C2)+D2)/12),0)*G2</f>
        <v>0</v>
      </c>
      <c r="R7" s="3">
        <f>IF(AND(R6&gt;=E2,R6&lt;=F2),((B2*(1+C2)+D2)/12),0)*G2</f>
        <v>0</v>
      </c>
      <c r="S7" s="3">
        <f>IF(AND(S6&gt;=E2,S6&lt;=F2),((B2*(1+C2)+D2)/12),0)*G2</f>
        <v>0</v>
      </c>
      <c r="T7" s="3">
        <f>IF(AND(T6&gt;=E2,T6&lt;=F2),((B2*(1+C2)+D2)/12),0)*G2</f>
        <v>0</v>
      </c>
      <c r="U7" s="3">
        <f>IF(AND(U6&gt;=E2,U6&lt;=F2),((B2*(1+C2)+D2)/12),0)*G2</f>
        <v>0</v>
      </c>
      <c r="V7" s="3">
        <f>IF(AND(V6&gt;=E2,V6&lt;=F2),((B2*(1+C2)+D2)/12),0)*G2</f>
        <v>0</v>
      </c>
      <c r="W7" s="3">
        <f>IF(AND(W6&gt;=E2,W6&lt;=F2),((B2*(1+C2)+D2)/12),0)*G2</f>
        <v>0</v>
      </c>
      <c r="X7" s="3">
        <f>IF(AND(X6&gt;=E2,X6&lt;=F2),((B2*(1+C2)+D2)/12),0)*G2</f>
        <v>0</v>
      </c>
      <c r="Y7" s="3">
        <f>IF(AND(Y6&gt;=E2,Y6&lt;=F2),((B2*(1+C2)+D2)/12),0)*G2</f>
        <v>0</v>
      </c>
      <c r="Z7" s="3">
        <f>IF(AND(Z6&gt;=E2,Z6&lt;=F2),((B2*(1+C2)+D2)/12),0)*G2</f>
        <v>0</v>
      </c>
      <c r="AA7" s="3">
        <f>IF(AND(AA6&gt;=E2,AA6&lt;=F2),((B2*(1+C2)+D2)/12),0)*G2</f>
        <v>0</v>
      </c>
      <c r="AB7" s="3">
        <f>IF(AND(AB6&gt;=E2,AB6&lt;=F2),((B2*(1+C2)+D2)/12),0)*G2</f>
        <v>0</v>
      </c>
      <c r="AC7" s="3">
        <f>IF(AND(AC6&gt;=E2,AC6&lt;=F2),((B2*(1+C2)+D2)/12),0)*G2</f>
        <v>0</v>
      </c>
      <c r="AD7" s="3">
        <f>IF(AND(AD6&gt;=E2,AD6&lt;=F2),((B2*(1+C2)+D2)/12),0)*G2</f>
        <v>0</v>
      </c>
      <c r="AE7" s="3">
        <f>IF(AND(AE6&gt;=E2,AE6&lt;=F2),((B2*(1+C2)+D2)/12),0)*G2</f>
        <v>0</v>
      </c>
      <c r="AF7" s="3">
        <f>IF(AND(AF6&gt;=E2,AF6&lt;=F2),((B2*(1+C2)+D2)/12),0)*G2</f>
        <v>0</v>
      </c>
      <c r="AG7" s="3">
        <f>IF(AND(AG6&gt;=E2,AG6&lt;=F2),((B2*(1+C2)+D2)/12),0)*G2</f>
        <v>0</v>
      </c>
      <c r="AH7" s="3">
        <f>IF(AND(AH6&gt;=E2,AH6&lt;=F2),((B2*(1+C2)+D2)/12),0)*G2</f>
        <v>0</v>
      </c>
      <c r="AI7" s="3">
        <f>IF(AND(AI6&gt;=E2,AI6&lt;=F2),((B2*(1+C2)+D2)/12),0)*G2</f>
        <v>0</v>
      </c>
      <c r="AJ7" s="3">
        <f>IF(AND(AJ6&gt;=E2,AJ6&lt;=F2),((B2*(1+C2)+D2)/12),0)*G2</f>
        <v>0</v>
      </c>
      <c r="AK7" s="3">
        <f>IF(AND(AK6&gt;=E2,AK6&lt;=F2),((B2*(1+C2)+D2)/12),0)*G2</f>
        <v>0</v>
      </c>
    </row>
    <row r="8" spans="1:37" x14ac:dyDescent="0.2">
      <c r="A8" t="str">
        <f>A3</f>
        <v>Job Title</v>
      </c>
      <c r="B8" s="3">
        <f>IF(AND(B6&gt;=E3,B6&lt;=F3),((B3*(1+C3)+D3)/12),0)*G3</f>
        <v>0</v>
      </c>
      <c r="C8" s="3">
        <f>IF(AND(C6&gt;=E3,C6&lt;=F3),((B3*(1+C3)+D3)/12),0)*G3</f>
        <v>0</v>
      </c>
      <c r="D8" s="3">
        <f>IF(AND(D6&gt;=E3,D6&lt;=F3),((B3*(1+C3)+D3)/12),0)*G3</f>
        <v>0</v>
      </c>
      <c r="E8" s="3">
        <f>IF(AND(E6&gt;=E3,E6&lt;=F3),((B3*(1+C3)+D3)/12),0)*G3</f>
        <v>0</v>
      </c>
      <c r="F8" s="3">
        <f>IF(AND(F6&gt;=E3,F6&lt;=F3),((B3*(1+C3)+D3)/12),0)*G3</f>
        <v>0</v>
      </c>
      <c r="G8" s="3">
        <f>IF(AND(G6&gt;=E3,G6&lt;=F3),((B3*(1+C3)+D3)/12),0)*G3</f>
        <v>0</v>
      </c>
      <c r="H8" s="3">
        <f>IF(AND(H6&gt;=E3,H6&lt;=F3),((B3*(1+C3)+D3)/12),0)*G3</f>
        <v>0</v>
      </c>
      <c r="I8" s="3">
        <f>IF(AND(I6&gt;=E3,I6&lt;=F3),((B3*(1+C3)+D3)/12),0)*G3</f>
        <v>0</v>
      </c>
      <c r="J8" s="3">
        <f>IF(AND(J6&gt;=E3,J6&lt;=F3),((B3*(1+C3)+D3)/12),0)*G3</f>
        <v>0</v>
      </c>
      <c r="K8" s="3">
        <f>IF(AND(K6&gt;=E3,K6&lt;=F3),((B3*(1+C3)+D3)/12),0)*G3</f>
        <v>0</v>
      </c>
      <c r="L8" s="3">
        <f>IF(AND(L6&gt;=E3,L6&lt;=F3),((B3*(1+C3)+D3)/12),0)*G3</f>
        <v>0</v>
      </c>
      <c r="M8" s="3">
        <f>IF(AND(M6&gt;=E3,M6&lt;=F3),((B3*(1+C3)+D3)/12),0)*G3</f>
        <v>0</v>
      </c>
      <c r="N8" s="3">
        <f>IF(AND(N6&gt;=E3,N6&lt;=F3),((B3*(1+C3)+D3)/12),0)*G3</f>
        <v>0</v>
      </c>
      <c r="O8" s="3">
        <f>IF(AND(O6&gt;=E3,O6&lt;=F3),((B3*(1+C3)+D3)/12),0)*G3</f>
        <v>0</v>
      </c>
      <c r="P8" s="3">
        <f>IF(AND(P6&gt;=E3,P6&lt;=F3),((B3*(1+C3)+D3)/12),0)*G3</f>
        <v>0</v>
      </c>
      <c r="Q8" s="3">
        <f>IF(AND(Q6&gt;=E3,Q6&lt;=F3),((B3*(1+C3)+D3)/12),0)*G3</f>
        <v>0</v>
      </c>
      <c r="R8" s="3">
        <f>IF(AND(R6&gt;=E3,R6&lt;=F3),((B3*(1+C3)+D3)/12),0)*G3</f>
        <v>0</v>
      </c>
      <c r="S8" s="3">
        <f>IF(AND(S6&gt;=E3,S6&lt;=F3),((B3*(1+C3)+D3)/12),0)*G3</f>
        <v>0</v>
      </c>
      <c r="T8" s="3">
        <f>IF(AND(T6&gt;=E3,T6&lt;=F3),((B3*(1+C3)+D3)/12),0)*G3</f>
        <v>0</v>
      </c>
      <c r="U8" s="3">
        <f>IF(AND(U6&gt;=E3,U6&lt;=F3),((B3*(1+C3)+D3)/12),0)*G3</f>
        <v>0</v>
      </c>
      <c r="V8" s="3">
        <f>IF(AND(V6&gt;=E3,V6&lt;=F3),((B3*(1+C3)+D3)/12),0)*G3</f>
        <v>0</v>
      </c>
      <c r="W8" s="3">
        <f>IF(AND(W6&gt;=E3,W6&lt;=F3),((B3*(1+C3)+D3)/12),0)*G3</f>
        <v>0</v>
      </c>
      <c r="X8" s="3">
        <f>IF(AND(X6&gt;=E3,X6&lt;=F3),((B3*(1+C3)+D3)/12),0)*G3</f>
        <v>0</v>
      </c>
      <c r="Y8" s="3">
        <f>IF(AND(Y6&gt;=E3,Y6&lt;=F3),((B3*(1+C3)+D3)/12),0)*G3</f>
        <v>0</v>
      </c>
      <c r="Z8" s="3">
        <f>IF(AND(Z6&gt;=E3,Z6&lt;=F3),((B3*(1+C3)+D3)/12),0)*G3</f>
        <v>0</v>
      </c>
      <c r="AA8" s="3">
        <f>IF(AND(AA6&gt;=E3,AA6&lt;=F3),((B3*(1+C3)+D3)/12),0)*G3</f>
        <v>0</v>
      </c>
      <c r="AB8" s="3">
        <f>IF(AND(AB6&gt;=E3,AB6&lt;=F3),((B3*(1+C3)+D3)/12),0)*G3</f>
        <v>0</v>
      </c>
      <c r="AC8" s="3">
        <f>IF(AND(AC6&gt;=E3,AC6&lt;=F3),((B3*(1+C3)+D3)/12),0)*G3</f>
        <v>0</v>
      </c>
      <c r="AD8" s="3">
        <f>IF(AND(AD6&gt;=E3,AD6&lt;=F3),((B3*(1+C3)+D3)/12),0)*G3</f>
        <v>0</v>
      </c>
      <c r="AE8" s="3">
        <f>IF(AND(AE6&gt;=E3,AE6&lt;=F3),((B3*(1+C3)+D3)/12),0)*G3</f>
        <v>0</v>
      </c>
      <c r="AF8" s="3">
        <f>IF(AND(AF6&gt;=E3,AF6&lt;=F3),((B3*(1+C3)+D3)/12),0)*G3</f>
        <v>0</v>
      </c>
      <c r="AG8" s="3">
        <f>IF(AND(AG6&gt;=E3,AG6&lt;=F3),((B3*(1+C3)+D3)/12),0)*G3</f>
        <v>0</v>
      </c>
      <c r="AH8" s="3">
        <f>IF(AND(AH6&gt;=E3,AH6&lt;=F3),((B3*(1+C3)+D3)/12),0)*G3</f>
        <v>0</v>
      </c>
      <c r="AI8" s="3">
        <f>IF(AND(AI6&gt;=E3,AI6&lt;=F3),((B3*(1+C3)+D3)/12),0)*G3</f>
        <v>0</v>
      </c>
      <c r="AJ8" s="3">
        <f>IF(AND(AJ6&gt;=E3,AJ6&lt;=F3),((B3*(1+C3)+D3)/12),0)*G3</f>
        <v>0</v>
      </c>
      <c r="AK8" s="3">
        <f>IF(AND(AK6&gt;=E3,AK6&lt;=F3),((B3*(1+C3)+D3)/12),0)*G3</f>
        <v>0</v>
      </c>
    </row>
    <row r="10" spans="1:37" x14ac:dyDescent="0.2">
      <c r="A10" s="4" t="s">
        <v>62</v>
      </c>
      <c r="B10" s="3">
        <f t="shared" ref="B10:AK10" si="0">SUM(B7:B9)</f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  <c r="AC10" s="3">
        <f t="shared" si="0"/>
        <v>0</v>
      </c>
      <c r="AD10" s="3">
        <f t="shared" si="0"/>
        <v>0</v>
      </c>
      <c r="AE10" s="3">
        <f t="shared" si="0"/>
        <v>0</v>
      </c>
      <c r="AF10" s="3">
        <f t="shared" si="0"/>
        <v>0</v>
      </c>
      <c r="AG10" s="3">
        <f t="shared" si="0"/>
        <v>0</v>
      </c>
      <c r="AH10" s="3">
        <f t="shared" si="0"/>
        <v>0</v>
      </c>
      <c r="AI10" s="3">
        <f t="shared" si="0"/>
        <v>0</v>
      </c>
      <c r="AJ10" s="3">
        <f t="shared" si="0"/>
        <v>0</v>
      </c>
      <c r="AK10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opLeftCell="A5" workbookViewId="0">
      <selection activeCell="B27" sqref="B27"/>
    </sheetView>
  </sheetViews>
  <sheetFormatPr baseColWidth="10" defaultColWidth="8.83203125" defaultRowHeight="15" x14ac:dyDescent="0.2"/>
  <cols>
    <col min="1" max="1" width="40" customWidth="1"/>
    <col min="2" max="3" width="14" bestFit="1" customWidth="1"/>
    <col min="4" max="4" width="15.33203125" bestFit="1" customWidth="1"/>
    <col min="5" max="5" width="24.6640625" bestFit="1" customWidth="1"/>
  </cols>
  <sheetData>
    <row r="1" spans="1:5" x14ac:dyDescent="0.2">
      <c r="A1" s="4" t="s">
        <v>63</v>
      </c>
      <c r="C1" t="s">
        <v>64</v>
      </c>
      <c r="D1" t="s">
        <v>13</v>
      </c>
      <c r="E1" t="s">
        <v>43</v>
      </c>
    </row>
    <row r="2" spans="1:5" x14ac:dyDescent="0.2">
      <c r="A2" s="4" t="s">
        <v>65</v>
      </c>
      <c r="B2" s="3">
        <f>DATA!B8</f>
        <v>0</v>
      </c>
    </row>
    <row r="3" spans="1:5" x14ac:dyDescent="0.2">
      <c r="A3" s="4" t="str">
        <f>DATA!A19</f>
        <v>Equipment</v>
      </c>
      <c r="B3" s="3">
        <f>DATA!B19</f>
        <v>12000</v>
      </c>
      <c r="C3">
        <f>DATA!C19</f>
        <v>7</v>
      </c>
      <c r="D3" s="3">
        <f>DATA!D19</f>
        <v>0</v>
      </c>
      <c r="E3" s="3">
        <f>((B3-D3)/C3)/12</f>
        <v>142.85714285714286</v>
      </c>
    </row>
    <row r="4" spans="1:5" x14ac:dyDescent="0.2">
      <c r="A4" s="4" t="str">
        <f>DATA!A22</f>
        <v>Food Truck</v>
      </c>
      <c r="B4" s="3">
        <f>DATA!B22</f>
        <v>5500</v>
      </c>
      <c r="C4">
        <f>DATA!C22</f>
        <v>7</v>
      </c>
      <c r="D4" s="3">
        <f>DATA!D22</f>
        <v>0</v>
      </c>
      <c r="E4" s="3">
        <f>((B4-D4)/C4)/12</f>
        <v>65.476190476190467</v>
      </c>
    </row>
    <row r="5" spans="1:5" x14ac:dyDescent="0.2">
      <c r="A5" s="4" t="s">
        <v>66</v>
      </c>
      <c r="B5" s="19">
        <v>0</v>
      </c>
    </row>
    <row r="6" spans="1:5" x14ac:dyDescent="0.2">
      <c r="A6" s="4" t="s">
        <v>67</v>
      </c>
      <c r="B6" s="19">
        <v>50000</v>
      </c>
    </row>
    <row r="8" spans="1:5" x14ac:dyDescent="0.2">
      <c r="A8" s="4" t="s">
        <v>68</v>
      </c>
      <c r="B8" s="3">
        <f>SUM(B2:B6)</f>
        <v>67500</v>
      </c>
    </row>
    <row r="10" spans="1:5" x14ac:dyDescent="0.2">
      <c r="A10" s="4" t="s">
        <v>69</v>
      </c>
    </row>
    <row r="11" spans="1:5" x14ac:dyDescent="0.2">
      <c r="A11" s="4" t="s">
        <v>70</v>
      </c>
      <c r="B11" s="19">
        <v>5500</v>
      </c>
    </row>
    <row r="12" spans="1:5" x14ac:dyDescent="0.2">
      <c r="A12" s="4" t="s">
        <v>71</v>
      </c>
      <c r="B12" s="3">
        <v>8000</v>
      </c>
    </row>
    <row r="13" spans="1:5" x14ac:dyDescent="0.2">
      <c r="A13" s="4" t="s">
        <v>72</v>
      </c>
      <c r="B13" s="3">
        <f>IF(LoanModule!C5=-1,LoanModule!C2,0)</f>
        <v>0</v>
      </c>
    </row>
    <row r="16" spans="1:5" x14ac:dyDescent="0.2">
      <c r="A16" s="4" t="s">
        <v>73</v>
      </c>
    </row>
    <row r="17" spans="1:2" x14ac:dyDescent="0.2">
      <c r="A17" t="s">
        <v>74</v>
      </c>
      <c r="B17" s="3">
        <f>SUM(B2:B3)</f>
        <v>12000</v>
      </c>
    </row>
    <row r="18" spans="1:2" x14ac:dyDescent="0.2">
      <c r="A18" t="s">
        <v>75</v>
      </c>
      <c r="B18" s="3">
        <f>SUM(B2:B3)</f>
        <v>12000</v>
      </c>
    </row>
    <row r="19" spans="1:2" x14ac:dyDescent="0.2">
      <c r="A19" t="s">
        <v>10</v>
      </c>
      <c r="B19" s="3">
        <f>SUM(B3:B3)</f>
        <v>12000</v>
      </c>
    </row>
    <row r="20" spans="1:2" x14ac:dyDescent="0.2">
      <c r="A20" t="s">
        <v>15</v>
      </c>
      <c r="B20" s="3">
        <f>SUM(B4:B4)</f>
        <v>5500</v>
      </c>
    </row>
    <row r="21" spans="1:2" x14ac:dyDescent="0.2">
      <c r="A21" s="4" t="s">
        <v>65</v>
      </c>
      <c r="B21" s="3">
        <f>DATA!B8</f>
        <v>0</v>
      </c>
    </row>
    <row r="22" spans="1:2" x14ac:dyDescent="0.2">
      <c r="A22" s="4" t="s">
        <v>76</v>
      </c>
      <c r="B22" s="3">
        <v>5000</v>
      </c>
    </row>
    <row r="23" spans="1:2" x14ac:dyDescent="0.2">
      <c r="A23" s="4" t="s">
        <v>67</v>
      </c>
      <c r="B23" s="3">
        <f>B6</f>
        <v>50000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8"/>
  <sheetViews>
    <sheetView topLeftCell="A26" workbookViewId="0">
      <selection activeCell="G48" sqref="G48"/>
    </sheetView>
  </sheetViews>
  <sheetFormatPr baseColWidth="10" defaultColWidth="8.83203125" defaultRowHeight="15" x14ac:dyDescent="0.2"/>
  <cols>
    <col min="1" max="1" width="31.6640625" bestFit="1" customWidth="1"/>
    <col min="2" max="2" width="10.5" bestFit="1" customWidth="1"/>
    <col min="3" max="10" width="8.1640625" bestFit="1" customWidth="1"/>
    <col min="11" max="12" width="9.33203125" bestFit="1" customWidth="1"/>
    <col min="13" max="13" width="10.5" bestFit="1" customWidth="1"/>
    <col min="14" max="14" width="9.33203125" bestFit="1" customWidth="1"/>
  </cols>
  <sheetData>
    <row r="1" spans="1:14" x14ac:dyDescent="0.2">
      <c r="A1" t="str">
        <f>DATA!B1</f>
        <v>Example Food Truck</v>
      </c>
    </row>
    <row r="2" spans="1:14" x14ac:dyDescent="0.2">
      <c r="A2" t="s">
        <v>77</v>
      </c>
    </row>
    <row r="3" spans="1:14" x14ac:dyDescent="0.2">
      <c r="A3" t="s">
        <v>78</v>
      </c>
    </row>
    <row r="5" spans="1:14" x14ac:dyDescent="0.2">
      <c r="A5" t="s">
        <v>17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 s="4" t="s">
        <v>78</v>
      </c>
    </row>
    <row r="6" spans="1:14" x14ac:dyDescent="0.2">
      <c r="A6" s="4" t="s">
        <v>79</v>
      </c>
    </row>
    <row r="7" spans="1:14" x14ac:dyDescent="0.2">
      <c r="A7" t="str">
        <f>SUBSTITUTE(DATA!A26,"Days to Get Paid","",1)</f>
        <v>Food Truck Sales</v>
      </c>
      <c r="B7" s="5">
        <f>DATA!B31*DATA!B29</f>
        <v>13500</v>
      </c>
      <c r="C7" s="5">
        <f>DATA!C31*DATA!C29</f>
        <v>13771.35</v>
      </c>
      <c r="D7" s="5">
        <f>DATA!D31*DATA!D29</f>
        <v>14048.154135000001</v>
      </c>
      <c r="E7" s="5">
        <f>DATA!E31*DATA!E29</f>
        <v>14330.522033113501</v>
      </c>
      <c r="F7" s="5">
        <f>DATA!F31*DATA!F29</f>
        <v>14618.565525979086</v>
      </c>
      <c r="G7" s="5">
        <f>DATA!G31*DATA!G29</f>
        <v>14912.398693051264</v>
      </c>
      <c r="H7" s="5">
        <f>DATA!H31*DATA!H29</f>
        <v>15212.137906781592</v>
      </c>
      <c r="I7" s="5">
        <f>DATA!I31*DATA!I29</f>
        <v>15517.901878707902</v>
      </c>
      <c r="J7" s="5">
        <f>DATA!J31*DATA!J29</f>
        <v>15829.811706469931</v>
      </c>
      <c r="K7" s="5">
        <f>DATA!K31*DATA!K29</f>
        <v>16147.990921769977</v>
      </c>
      <c r="L7" s="5">
        <f>DATA!L31*DATA!L29</f>
        <v>16472.565539297553</v>
      </c>
      <c r="M7" s="5">
        <f>DATA!M31*DATA!M29</f>
        <v>16803.664106637436</v>
      </c>
      <c r="N7" s="6">
        <f>SUM(B7:M7)</f>
        <v>181165.06244680824</v>
      </c>
    </row>
    <row r="8" spans="1:14" x14ac:dyDescent="0.2">
      <c r="A8" s="4" t="s">
        <v>80</v>
      </c>
      <c r="B8" s="8">
        <f t="shared" ref="B8:M8" si="0">SUM(B7:B7)</f>
        <v>13500</v>
      </c>
      <c r="C8" s="8">
        <f t="shared" si="0"/>
        <v>13771.35</v>
      </c>
      <c r="D8" s="8">
        <f t="shared" si="0"/>
        <v>14048.154135000001</v>
      </c>
      <c r="E8" s="8">
        <f t="shared" si="0"/>
        <v>14330.522033113501</v>
      </c>
      <c r="F8" s="8">
        <f t="shared" si="0"/>
        <v>14618.565525979086</v>
      </c>
      <c r="G8" s="8">
        <f t="shared" si="0"/>
        <v>14912.398693051264</v>
      </c>
      <c r="H8" s="8">
        <f t="shared" si="0"/>
        <v>15212.137906781592</v>
      </c>
      <c r="I8" s="8">
        <f t="shared" si="0"/>
        <v>15517.901878707902</v>
      </c>
      <c r="J8" s="8">
        <f t="shared" si="0"/>
        <v>15829.811706469931</v>
      </c>
      <c r="K8" s="8">
        <f t="shared" si="0"/>
        <v>16147.990921769977</v>
      </c>
      <c r="L8" s="8">
        <f t="shared" si="0"/>
        <v>16472.565539297553</v>
      </c>
      <c r="M8" s="8">
        <f t="shared" si="0"/>
        <v>16803.664106637436</v>
      </c>
      <c r="N8" s="8">
        <f>SUM(B8:M8)</f>
        <v>181165.06244680824</v>
      </c>
    </row>
    <row r="10" spans="1:14" x14ac:dyDescent="0.2">
      <c r="A10" t="s">
        <v>81</v>
      </c>
      <c r="B10" s="5">
        <f>DATA!B67</f>
        <v>4049.9999999999995</v>
      </c>
      <c r="C10" s="5">
        <f>DATA!C67</f>
        <v>4131.4049999999997</v>
      </c>
      <c r="D10" s="5">
        <f>DATA!D67</f>
        <v>4214.4462405000004</v>
      </c>
      <c r="E10" s="5">
        <f>DATA!E67</f>
        <v>4299.1566099340498</v>
      </c>
      <c r="F10" s="5">
        <f>DATA!F67</f>
        <v>4385.5696577937251</v>
      </c>
      <c r="G10" s="5">
        <f>DATA!G67</f>
        <v>4473.7196079153791</v>
      </c>
      <c r="H10" s="5">
        <f>DATA!H67</f>
        <v>4563.6413720344772</v>
      </c>
      <c r="I10" s="5">
        <f>DATA!I67</f>
        <v>4655.3705636123705</v>
      </c>
      <c r="J10" s="5">
        <f>DATA!J67</f>
        <v>4748.9435119409791</v>
      </c>
      <c r="K10" s="5">
        <f>DATA!K67</f>
        <v>4844.3972765309927</v>
      </c>
      <c r="L10" s="5">
        <f>DATA!L67</f>
        <v>4941.7696617892661</v>
      </c>
      <c r="M10" s="5">
        <f>DATA!M67</f>
        <v>5041.0992319912311</v>
      </c>
      <c r="N10" s="6">
        <f>SUM(B10:M10)</f>
        <v>54349.518734042482</v>
      </c>
    </row>
    <row r="11" spans="1:14" x14ac:dyDescent="0.2">
      <c r="A11" t="s">
        <v>82</v>
      </c>
      <c r="B11" s="5">
        <f>DATA!B68</f>
        <v>4455</v>
      </c>
      <c r="C11" s="5">
        <f>DATA!C68</f>
        <v>4544.5455000000002</v>
      </c>
      <c r="D11" s="5">
        <f>DATA!D68</f>
        <v>4635.8908645500005</v>
      </c>
      <c r="E11" s="5">
        <f>DATA!E68</f>
        <v>4729.072270927456</v>
      </c>
      <c r="F11" s="5">
        <f>DATA!F68</f>
        <v>4824.1266235730982</v>
      </c>
      <c r="G11" s="5">
        <f>DATA!G68</f>
        <v>4921.0915687069164</v>
      </c>
      <c r="H11" s="5">
        <f>DATA!H68</f>
        <v>5020.0055092379253</v>
      </c>
      <c r="I11" s="5">
        <f>DATA!I68</f>
        <v>5120.9076199736073</v>
      </c>
      <c r="J11" s="5">
        <f>DATA!J68</f>
        <v>5223.8378631350779</v>
      </c>
      <c r="K11" s="5">
        <f>DATA!K68</f>
        <v>5328.8370041840926</v>
      </c>
      <c r="L11" s="5">
        <f>DATA!L68</f>
        <v>5435.9466279681928</v>
      </c>
      <c r="M11" s="5">
        <f>DATA!M68</f>
        <v>5545.2091551903541</v>
      </c>
      <c r="N11" s="6">
        <f>SUM(B11:M11)</f>
        <v>59784.470607446725</v>
      </c>
    </row>
    <row r="12" spans="1:14" x14ac:dyDescent="0.2">
      <c r="A12" s="4" t="s">
        <v>83</v>
      </c>
      <c r="B12" s="8">
        <f t="shared" ref="B12:M12" si="1">SUM(B10:B11)</f>
        <v>8505</v>
      </c>
      <c r="C12" s="8">
        <f t="shared" si="1"/>
        <v>8675.950499999999</v>
      </c>
      <c r="D12" s="8">
        <f t="shared" si="1"/>
        <v>8850.3371050500009</v>
      </c>
      <c r="E12" s="8">
        <f t="shared" si="1"/>
        <v>9028.2288808615049</v>
      </c>
      <c r="F12" s="8">
        <f t="shared" si="1"/>
        <v>9209.6962813668233</v>
      </c>
      <c r="G12" s="8">
        <f t="shared" si="1"/>
        <v>9394.8111766222955</v>
      </c>
      <c r="H12" s="8">
        <f t="shared" si="1"/>
        <v>9583.6468812724015</v>
      </c>
      <c r="I12" s="8">
        <f t="shared" si="1"/>
        <v>9776.2781835859787</v>
      </c>
      <c r="J12" s="8">
        <f t="shared" si="1"/>
        <v>9972.7813750760579</v>
      </c>
      <c r="K12" s="8">
        <f t="shared" si="1"/>
        <v>10173.234280715085</v>
      </c>
      <c r="L12" s="8">
        <f t="shared" si="1"/>
        <v>10377.71628975746</v>
      </c>
      <c r="M12" s="8">
        <f t="shared" si="1"/>
        <v>10586.308387181585</v>
      </c>
      <c r="N12" s="8">
        <f>SUM(B12:M12)</f>
        <v>114133.98934148918</v>
      </c>
    </row>
    <row r="14" spans="1:14" x14ac:dyDescent="0.2">
      <c r="A14" s="4" t="s">
        <v>84</v>
      </c>
      <c r="B14" s="9">
        <f t="shared" ref="B14:M14" si="2">B8-B12</f>
        <v>4995</v>
      </c>
      <c r="C14" s="9">
        <f t="shared" si="2"/>
        <v>5095.3995000000014</v>
      </c>
      <c r="D14" s="9">
        <f t="shared" si="2"/>
        <v>5197.8170299499998</v>
      </c>
      <c r="E14" s="9">
        <f t="shared" si="2"/>
        <v>5302.2931522519957</v>
      </c>
      <c r="F14" s="9">
        <f t="shared" si="2"/>
        <v>5408.8692446122623</v>
      </c>
      <c r="G14" s="9">
        <f t="shared" si="2"/>
        <v>5517.5875164289682</v>
      </c>
      <c r="H14" s="9">
        <f t="shared" si="2"/>
        <v>5628.4910255091909</v>
      </c>
      <c r="I14" s="9">
        <f t="shared" si="2"/>
        <v>5741.6236951219234</v>
      </c>
      <c r="J14" s="9">
        <f t="shared" si="2"/>
        <v>5857.030331393873</v>
      </c>
      <c r="K14" s="9">
        <f t="shared" si="2"/>
        <v>5974.7566410548916</v>
      </c>
      <c r="L14" s="9">
        <f t="shared" si="2"/>
        <v>6094.8492495400933</v>
      </c>
      <c r="M14" s="9">
        <f t="shared" si="2"/>
        <v>6217.3557194558507</v>
      </c>
      <c r="N14" s="9">
        <f>SUM(B14:M14)</f>
        <v>67031.073105319054</v>
      </c>
    </row>
    <row r="15" spans="1:14" x14ac:dyDescent="0.2">
      <c r="A15" t="s">
        <v>85</v>
      </c>
      <c r="B15" s="2">
        <f t="shared" ref="B15:N15" si="3">IF(B8=0,0,B14/B8)</f>
        <v>0.37</v>
      </c>
      <c r="C15" s="2">
        <f t="shared" si="3"/>
        <v>0.37000000000000011</v>
      </c>
      <c r="D15" s="2">
        <f t="shared" si="3"/>
        <v>0.36999999999999994</v>
      </c>
      <c r="E15" s="2">
        <f t="shared" si="3"/>
        <v>0.37000000000000005</v>
      </c>
      <c r="F15" s="2">
        <f t="shared" si="3"/>
        <v>0.37000000000000005</v>
      </c>
      <c r="G15" s="2">
        <f t="shared" si="3"/>
        <v>0.37000000000000005</v>
      </c>
      <c r="H15" s="2">
        <f t="shared" si="3"/>
        <v>0.37000000000000011</v>
      </c>
      <c r="I15" s="2">
        <f t="shared" si="3"/>
        <v>0.37</v>
      </c>
      <c r="J15" s="2">
        <f t="shared" si="3"/>
        <v>0.36999999999999988</v>
      </c>
      <c r="K15" s="2">
        <f t="shared" si="3"/>
        <v>0.37</v>
      </c>
      <c r="L15" s="2">
        <f t="shared" si="3"/>
        <v>0.36999999999999994</v>
      </c>
      <c r="M15" s="2">
        <f t="shared" si="3"/>
        <v>0.36999999999999994</v>
      </c>
      <c r="N15" s="10">
        <f t="shared" si="3"/>
        <v>0.37000000000000005</v>
      </c>
    </row>
    <row r="17" spans="1:14" x14ac:dyDescent="0.2">
      <c r="A17" s="4" t="s">
        <v>19</v>
      </c>
    </row>
    <row r="18" spans="1:14" x14ac:dyDescent="0.2">
      <c r="A18" t="str">
        <f>DATA!A44</f>
        <v>Accounting</v>
      </c>
      <c r="B18" s="5">
        <f>DATA!B44</f>
        <v>100</v>
      </c>
      <c r="C18" s="5">
        <f>DATA!C44</f>
        <v>100</v>
      </c>
      <c r="D18" s="5">
        <f>DATA!D44</f>
        <v>100</v>
      </c>
      <c r="E18" s="5">
        <f>DATA!E44</f>
        <v>100</v>
      </c>
      <c r="F18" s="5">
        <f>DATA!F44</f>
        <v>100</v>
      </c>
      <c r="G18" s="5">
        <f>DATA!G44</f>
        <v>100</v>
      </c>
      <c r="H18" s="5">
        <f>DATA!H44</f>
        <v>100</v>
      </c>
      <c r="I18" s="5">
        <f>DATA!I44</f>
        <v>100</v>
      </c>
      <c r="J18" s="5">
        <f>DATA!J44</f>
        <v>100</v>
      </c>
      <c r="K18" s="5">
        <f>DATA!K44</f>
        <v>100</v>
      </c>
      <c r="L18" s="5">
        <f>DATA!L44</f>
        <v>100</v>
      </c>
      <c r="M18" s="5">
        <f>DATA!M44</f>
        <v>100</v>
      </c>
      <c r="N18" s="6">
        <f t="shared" ref="N18:N37" si="4">SUM(B18:M18)</f>
        <v>1200</v>
      </c>
    </row>
    <row r="19" spans="1:14" x14ac:dyDescent="0.2">
      <c r="A19" t="str">
        <f>DATA!A45</f>
        <v>Advertising</v>
      </c>
      <c r="B19" s="5">
        <f>DATA!B45</f>
        <v>200</v>
      </c>
      <c r="C19" s="5">
        <f>DATA!C45</f>
        <v>210</v>
      </c>
      <c r="D19" s="5">
        <f>DATA!D45</f>
        <v>220.5</v>
      </c>
      <c r="E19" s="5">
        <f>DATA!E45</f>
        <v>231.52500000000001</v>
      </c>
      <c r="F19" s="5">
        <f>DATA!F45</f>
        <v>243.10125000000002</v>
      </c>
      <c r="G19" s="5">
        <f>DATA!G45</f>
        <v>255.25631250000004</v>
      </c>
      <c r="H19" s="5">
        <f>DATA!H45</f>
        <v>268.01912812500007</v>
      </c>
      <c r="I19" s="5">
        <f>DATA!I45</f>
        <v>281.4200845312501</v>
      </c>
      <c r="J19" s="5">
        <f>DATA!J45</f>
        <v>295.49108875781263</v>
      </c>
      <c r="K19" s="5">
        <f>DATA!K45</f>
        <v>310.26564319570326</v>
      </c>
      <c r="L19" s="5">
        <f>DATA!L45</f>
        <v>325.77892535548841</v>
      </c>
      <c r="M19" s="5">
        <f>DATA!M45</f>
        <v>342.06787162326287</v>
      </c>
      <c r="N19" s="6">
        <f t="shared" si="4"/>
        <v>3183.4253040885174</v>
      </c>
    </row>
    <row r="20" spans="1:14" x14ac:dyDescent="0.2">
      <c r="A20" t="str">
        <f>DATA!A47</f>
        <v>Vehicle/Liability Insurance</v>
      </c>
      <c r="B20" s="5">
        <f>DATA!B47</f>
        <v>2500</v>
      </c>
      <c r="C20" s="5">
        <f>DATA!C47</f>
        <v>0</v>
      </c>
      <c r="D20" s="5">
        <f>DATA!D47</f>
        <v>0</v>
      </c>
      <c r="E20" s="5">
        <f>DATA!E47</f>
        <v>0</v>
      </c>
      <c r="F20" s="5">
        <f>DATA!F47</f>
        <v>0</v>
      </c>
      <c r="G20" s="5">
        <f>DATA!G47</f>
        <v>0</v>
      </c>
      <c r="H20" s="5">
        <f>DATA!H47</f>
        <v>0</v>
      </c>
      <c r="I20" s="5">
        <f>DATA!I47</f>
        <v>0</v>
      </c>
      <c r="J20" s="5">
        <f>DATA!J47</f>
        <v>0</v>
      </c>
      <c r="K20" s="5">
        <f>DATA!K47</f>
        <v>0</v>
      </c>
      <c r="L20" s="5">
        <f>DATA!L47</f>
        <v>0</v>
      </c>
      <c r="M20" s="5">
        <f>DATA!M47</f>
        <v>0</v>
      </c>
      <c r="N20" s="6">
        <f t="shared" si="4"/>
        <v>2500</v>
      </c>
    </row>
    <row r="21" spans="1:14" x14ac:dyDescent="0.2">
      <c r="A21" t="str">
        <f>DATA!A48</f>
        <v>Legal Professional</v>
      </c>
      <c r="B21" s="5">
        <f>DATA!B48</f>
        <v>250</v>
      </c>
      <c r="C21" s="5">
        <f>DATA!C48</f>
        <v>0</v>
      </c>
      <c r="D21" s="5">
        <f>DATA!D48</f>
        <v>0</v>
      </c>
      <c r="E21" s="5">
        <f>DATA!E48</f>
        <v>0</v>
      </c>
      <c r="F21" s="5">
        <f>DATA!F48</f>
        <v>0</v>
      </c>
      <c r="G21" s="5">
        <f>DATA!G48</f>
        <v>0</v>
      </c>
      <c r="H21" s="5">
        <f>DATA!H48</f>
        <v>0</v>
      </c>
      <c r="I21" s="5">
        <f>DATA!I48</f>
        <v>0</v>
      </c>
      <c r="J21" s="5">
        <f>DATA!J48</f>
        <v>0</v>
      </c>
      <c r="K21" s="5">
        <f>DATA!K48</f>
        <v>0</v>
      </c>
      <c r="L21" s="5">
        <f>DATA!L48</f>
        <v>0</v>
      </c>
      <c r="M21" s="5">
        <f>DATA!M48</f>
        <v>0</v>
      </c>
      <c r="N21" s="6">
        <f t="shared" si="4"/>
        <v>250</v>
      </c>
    </row>
    <row r="22" spans="1:14" x14ac:dyDescent="0.2">
      <c r="A22" t="str">
        <f>DATA!A49</f>
        <v>Licenses</v>
      </c>
      <c r="B22" s="5">
        <f>DATA!B49</f>
        <v>250</v>
      </c>
      <c r="C22" s="5">
        <f>DATA!C49</f>
        <v>0</v>
      </c>
      <c r="D22" s="5">
        <f>DATA!D49</f>
        <v>0</v>
      </c>
      <c r="E22" s="5">
        <f>DATA!E49</f>
        <v>0</v>
      </c>
      <c r="F22" s="5">
        <f>DATA!F49</f>
        <v>0</v>
      </c>
      <c r="G22" s="5">
        <f>DATA!G49</f>
        <v>0</v>
      </c>
      <c r="H22" s="5">
        <f>DATA!H49</f>
        <v>0</v>
      </c>
      <c r="I22" s="5">
        <f>DATA!I49</f>
        <v>0</v>
      </c>
      <c r="J22" s="5">
        <f>DATA!J49</f>
        <v>0</v>
      </c>
      <c r="K22" s="5">
        <f>DATA!K49</f>
        <v>0</v>
      </c>
      <c r="L22" s="5">
        <f>DATA!L49</f>
        <v>0</v>
      </c>
      <c r="M22" s="5">
        <f>DATA!M49</f>
        <v>0</v>
      </c>
      <c r="N22" s="6">
        <f t="shared" si="4"/>
        <v>250</v>
      </c>
    </row>
    <row r="23" spans="1:14" x14ac:dyDescent="0.2">
      <c r="A23" t="str">
        <f>DATA!A50</f>
        <v>Fuel and Vehicle Repairs</v>
      </c>
      <c r="B23" s="5">
        <f>DATA!B50</f>
        <v>300</v>
      </c>
      <c r="C23" s="5">
        <f>DATA!C50</f>
        <v>300</v>
      </c>
      <c r="D23" s="5">
        <f>DATA!D50</f>
        <v>300</v>
      </c>
      <c r="E23" s="5">
        <f>DATA!E50</f>
        <v>300</v>
      </c>
      <c r="F23" s="5">
        <f>DATA!F50</f>
        <v>300</v>
      </c>
      <c r="G23" s="5">
        <f>DATA!G50</f>
        <v>300</v>
      </c>
      <c r="H23" s="5">
        <f>DATA!H50</f>
        <v>300</v>
      </c>
      <c r="I23" s="5">
        <f>DATA!I50</f>
        <v>300</v>
      </c>
      <c r="J23" s="5">
        <f>DATA!J50</f>
        <v>300</v>
      </c>
      <c r="K23" s="5">
        <f>DATA!K50</f>
        <v>300</v>
      </c>
      <c r="L23" s="5">
        <f>DATA!L50</f>
        <v>300</v>
      </c>
      <c r="M23" s="5">
        <f>DATA!M50</f>
        <v>300</v>
      </c>
      <c r="N23" s="6">
        <f t="shared" si="4"/>
        <v>3600</v>
      </c>
    </row>
    <row r="24" spans="1:14" x14ac:dyDescent="0.2">
      <c r="A24" t="str">
        <f>DATA!A51</f>
        <v>Credit Card Processing Fees</v>
      </c>
      <c r="B24" s="5">
        <f>DATA!B51</f>
        <v>371.25</v>
      </c>
      <c r="C24" s="5">
        <f>DATA!C51</f>
        <v>378.71212500000001</v>
      </c>
      <c r="D24" s="5">
        <f>DATA!D51</f>
        <v>386.32423871250001</v>
      </c>
      <c r="E24" s="5">
        <f>DATA!E51</f>
        <v>394.08935591062129</v>
      </c>
      <c r="F24" s="5">
        <f>DATA!F51</f>
        <v>402.01055196442485</v>
      </c>
      <c r="G24" s="5">
        <f>DATA!G51</f>
        <v>410.09096405890978</v>
      </c>
      <c r="H24" s="5">
        <f>DATA!H51</f>
        <v>418.33379243649381</v>
      </c>
      <c r="I24" s="5">
        <f>DATA!I51</f>
        <v>426.74230166446733</v>
      </c>
      <c r="J24" s="5">
        <f>DATA!J51</f>
        <v>435.3198219279231</v>
      </c>
      <c r="K24" s="5">
        <f>DATA!K51</f>
        <v>444.06975034867435</v>
      </c>
      <c r="L24" s="5">
        <f>DATA!L51</f>
        <v>452.9955523306827</v>
      </c>
      <c r="M24" s="5">
        <f>DATA!M51</f>
        <v>462.10076293252951</v>
      </c>
      <c r="N24" s="6">
        <f t="shared" si="4"/>
        <v>4982.0392172872271</v>
      </c>
    </row>
    <row r="25" spans="1:14" x14ac:dyDescent="0.2">
      <c r="A25" t="str">
        <f>DATA!A52</f>
        <v>Office Supplies</v>
      </c>
      <c r="B25" s="5">
        <f>DATA!B52</f>
        <v>100</v>
      </c>
      <c r="C25" s="5">
        <f>DATA!C52</f>
        <v>100</v>
      </c>
      <c r="D25" s="5">
        <f>DATA!D52</f>
        <v>100</v>
      </c>
      <c r="E25" s="5">
        <f>DATA!E52</f>
        <v>100</v>
      </c>
      <c r="F25" s="5">
        <f>DATA!F52</f>
        <v>100</v>
      </c>
      <c r="G25" s="5">
        <f>DATA!G52</f>
        <v>100</v>
      </c>
      <c r="H25" s="5">
        <f>DATA!H52</f>
        <v>100</v>
      </c>
      <c r="I25" s="5">
        <f>DATA!I52</f>
        <v>100</v>
      </c>
      <c r="J25" s="5">
        <f>DATA!J52</f>
        <v>100</v>
      </c>
      <c r="K25" s="5">
        <f>DATA!K52</f>
        <v>100</v>
      </c>
      <c r="L25" s="5">
        <f>DATA!L52</f>
        <v>100</v>
      </c>
      <c r="M25" s="5">
        <f>DATA!M52</f>
        <v>100</v>
      </c>
      <c r="N25" s="6">
        <f t="shared" si="4"/>
        <v>1200</v>
      </c>
    </row>
    <row r="26" spans="1:14" x14ac:dyDescent="0.2">
      <c r="A26" t="str">
        <f>DATA!A53</f>
        <v>Parking Fees</v>
      </c>
      <c r="B26" s="5">
        <f>DATA!B53</f>
        <v>100</v>
      </c>
      <c r="C26" s="5">
        <f>DATA!C53</f>
        <v>100</v>
      </c>
      <c r="D26" s="5">
        <f>DATA!D53</f>
        <v>100</v>
      </c>
      <c r="E26" s="5">
        <f>DATA!E53</f>
        <v>100</v>
      </c>
      <c r="F26" s="5">
        <f>DATA!F53</f>
        <v>100</v>
      </c>
      <c r="G26" s="5">
        <f>DATA!G53</f>
        <v>100</v>
      </c>
      <c r="H26" s="5">
        <f>DATA!H53</f>
        <v>100</v>
      </c>
      <c r="I26" s="5">
        <f>DATA!I53</f>
        <v>100</v>
      </c>
      <c r="J26" s="5">
        <f>DATA!J53</f>
        <v>100</v>
      </c>
      <c r="K26" s="5">
        <f>DATA!K53</f>
        <v>100</v>
      </c>
      <c r="L26" s="5">
        <f>DATA!L53</f>
        <v>100</v>
      </c>
      <c r="M26" s="5">
        <f>DATA!M53</f>
        <v>100</v>
      </c>
      <c r="N26" s="6">
        <f t="shared" si="4"/>
        <v>1200</v>
      </c>
    </row>
    <row r="27" spans="1:14" x14ac:dyDescent="0.2">
      <c r="A27" t="str">
        <f>DATA!A54</f>
        <v>Permits</v>
      </c>
      <c r="B27" s="5">
        <f>DATA!B54</f>
        <v>100</v>
      </c>
      <c r="C27" s="5">
        <f>DATA!C54</f>
        <v>100</v>
      </c>
      <c r="D27" s="5">
        <f>DATA!D54</f>
        <v>100</v>
      </c>
      <c r="E27" s="5">
        <f>DATA!E54</f>
        <v>100</v>
      </c>
      <c r="F27" s="5">
        <f>DATA!F54</f>
        <v>100</v>
      </c>
      <c r="G27" s="5">
        <f>DATA!G54</f>
        <v>100</v>
      </c>
      <c r="H27" s="5">
        <f>DATA!H54</f>
        <v>100</v>
      </c>
      <c r="I27" s="5">
        <f>DATA!I54</f>
        <v>100</v>
      </c>
      <c r="J27" s="5">
        <f>DATA!J54</f>
        <v>100</v>
      </c>
      <c r="K27" s="5">
        <f>DATA!K54</f>
        <v>100</v>
      </c>
      <c r="L27" s="5">
        <f>DATA!L54</f>
        <v>100</v>
      </c>
      <c r="M27" s="5">
        <f>DATA!M54</f>
        <v>100</v>
      </c>
      <c r="N27" s="6">
        <f t="shared" si="4"/>
        <v>1200</v>
      </c>
    </row>
    <row r="28" spans="1:14" x14ac:dyDescent="0.2">
      <c r="A28" t="str">
        <f>DATA!A55</f>
        <v>Telephone</v>
      </c>
      <c r="B28" s="5">
        <f>DATA!B55</f>
        <v>100</v>
      </c>
      <c r="C28" s="5">
        <f>DATA!C55</f>
        <v>100</v>
      </c>
      <c r="D28" s="5">
        <f>DATA!D55</f>
        <v>100</v>
      </c>
      <c r="E28" s="5">
        <f>DATA!E55</f>
        <v>100</v>
      </c>
      <c r="F28" s="5">
        <f>DATA!F55</f>
        <v>100</v>
      </c>
      <c r="G28" s="5">
        <f>DATA!G55</f>
        <v>100</v>
      </c>
      <c r="H28" s="5">
        <f>DATA!H55</f>
        <v>100</v>
      </c>
      <c r="I28" s="5">
        <f>DATA!I55</f>
        <v>100</v>
      </c>
      <c r="J28" s="5">
        <f>DATA!J55</f>
        <v>100</v>
      </c>
      <c r="K28" s="5">
        <f>DATA!K55</f>
        <v>100</v>
      </c>
      <c r="L28" s="5">
        <f>DATA!L55</f>
        <v>100</v>
      </c>
      <c r="M28" s="5">
        <f>DATA!M55</f>
        <v>100</v>
      </c>
      <c r="N28" s="6">
        <f t="shared" si="4"/>
        <v>1200</v>
      </c>
    </row>
    <row r="29" spans="1:14" x14ac:dyDescent="0.2">
      <c r="A29" t="str">
        <f>DATA!A56</f>
        <v>Travel</v>
      </c>
      <c r="B29" s="5">
        <f>DATA!B56</f>
        <v>100</v>
      </c>
      <c r="C29" s="5">
        <f>DATA!C56</f>
        <v>100</v>
      </c>
      <c r="D29" s="5">
        <f>DATA!D56</f>
        <v>100</v>
      </c>
      <c r="E29" s="5">
        <f>DATA!E56</f>
        <v>100</v>
      </c>
      <c r="F29" s="5">
        <f>DATA!F56</f>
        <v>100</v>
      </c>
      <c r="G29" s="5">
        <f>DATA!G56</f>
        <v>100</v>
      </c>
      <c r="H29" s="5">
        <f>DATA!H56</f>
        <v>100</v>
      </c>
      <c r="I29" s="5">
        <f>DATA!I56</f>
        <v>100</v>
      </c>
      <c r="J29" s="5">
        <f>DATA!J56</f>
        <v>100</v>
      </c>
      <c r="K29" s="5">
        <f>DATA!K56</f>
        <v>100</v>
      </c>
      <c r="L29" s="5">
        <f>DATA!L56</f>
        <v>100</v>
      </c>
      <c r="M29" s="5">
        <f>DATA!M56</f>
        <v>100</v>
      </c>
      <c r="N29" s="6">
        <f t="shared" si="4"/>
        <v>1200</v>
      </c>
    </row>
    <row r="30" spans="1:14" x14ac:dyDescent="0.2">
      <c r="A30" t="str">
        <f>DATA!A57</f>
        <v>Uniforms</v>
      </c>
      <c r="B30" s="5">
        <f>DATA!B57</f>
        <v>100</v>
      </c>
      <c r="C30" s="5">
        <f>DATA!C57</f>
        <v>100</v>
      </c>
      <c r="D30" s="5">
        <f>DATA!D57</f>
        <v>100</v>
      </c>
      <c r="E30" s="5">
        <f>DATA!E57</f>
        <v>100</v>
      </c>
      <c r="F30" s="5">
        <f>DATA!F57</f>
        <v>100</v>
      </c>
      <c r="G30" s="5">
        <f>DATA!G57</f>
        <v>100</v>
      </c>
      <c r="H30" s="5">
        <f>DATA!H57</f>
        <v>100</v>
      </c>
      <c r="I30" s="5">
        <f>DATA!I57</f>
        <v>100</v>
      </c>
      <c r="J30" s="5">
        <f>DATA!J57</f>
        <v>100</v>
      </c>
      <c r="K30" s="5">
        <f>DATA!K57</f>
        <v>100</v>
      </c>
      <c r="L30" s="5">
        <f>DATA!L57</f>
        <v>100</v>
      </c>
      <c r="M30" s="5">
        <f>DATA!M57</f>
        <v>100</v>
      </c>
      <c r="N30" s="6">
        <f t="shared" si="4"/>
        <v>1200</v>
      </c>
    </row>
    <row r="31" spans="1:14" x14ac:dyDescent="0.2">
      <c r="A31" t="str">
        <f>DATA!A58</f>
        <v>Website</v>
      </c>
      <c r="B31" s="5">
        <f>DATA!B58</f>
        <v>50</v>
      </c>
      <c r="C31" s="5">
        <f>DATA!C58</f>
        <v>50</v>
      </c>
      <c r="D31" s="5">
        <f>DATA!D58</f>
        <v>50</v>
      </c>
      <c r="E31" s="5">
        <f>DATA!E58</f>
        <v>50</v>
      </c>
      <c r="F31" s="5">
        <f>DATA!F58</f>
        <v>50</v>
      </c>
      <c r="G31" s="5">
        <f>DATA!G58</f>
        <v>50</v>
      </c>
      <c r="H31" s="5">
        <f>DATA!H58</f>
        <v>50</v>
      </c>
      <c r="I31" s="5">
        <f>DATA!I58</f>
        <v>50</v>
      </c>
      <c r="J31" s="5">
        <f>DATA!J58</f>
        <v>50</v>
      </c>
      <c r="K31" s="5">
        <f>DATA!K58</f>
        <v>50</v>
      </c>
      <c r="L31" s="5">
        <f>DATA!L58</f>
        <v>50</v>
      </c>
      <c r="M31" s="5">
        <f>DATA!M58</f>
        <v>50</v>
      </c>
      <c r="N31" s="6">
        <f t="shared" si="4"/>
        <v>600</v>
      </c>
    </row>
    <row r="32" spans="1:14" x14ac:dyDescent="0.2">
      <c r="A32" t="str">
        <f>DATA!A59</f>
        <v>Other</v>
      </c>
      <c r="B32" s="5">
        <f>DATA!B59</f>
        <v>0</v>
      </c>
      <c r="C32" s="5">
        <f>DATA!C59</f>
        <v>0</v>
      </c>
      <c r="D32" s="5">
        <f>DATA!D59</f>
        <v>0</v>
      </c>
      <c r="E32" s="5">
        <f>DATA!E59</f>
        <v>0</v>
      </c>
      <c r="F32" s="5">
        <f>DATA!F59</f>
        <v>0</v>
      </c>
      <c r="G32" s="5">
        <f>DATA!G59</f>
        <v>0</v>
      </c>
      <c r="H32" s="5">
        <f>DATA!H59</f>
        <v>0</v>
      </c>
      <c r="I32" s="5">
        <f>DATA!I59</f>
        <v>0</v>
      </c>
      <c r="J32" s="5">
        <f>DATA!J59</f>
        <v>0</v>
      </c>
      <c r="K32" s="5">
        <f>DATA!K59</f>
        <v>0</v>
      </c>
      <c r="L32" s="5">
        <f>DATA!L59</f>
        <v>0</v>
      </c>
      <c r="M32" s="5">
        <f>DATA!M59</f>
        <v>0</v>
      </c>
      <c r="N32" s="6">
        <f t="shared" si="4"/>
        <v>0</v>
      </c>
    </row>
    <row r="33" spans="1:14" x14ac:dyDescent="0.2">
      <c r="A33" t="s">
        <v>86</v>
      </c>
      <c r="B33" s="5">
        <f>SalaryModule!B10</f>
        <v>0</v>
      </c>
      <c r="C33" s="5">
        <f>SalaryModule!C10</f>
        <v>0</v>
      </c>
      <c r="D33" s="5">
        <f>SalaryModule!D10</f>
        <v>0</v>
      </c>
      <c r="E33" s="5">
        <f>SalaryModule!E10</f>
        <v>0</v>
      </c>
      <c r="F33" s="5">
        <f>SalaryModule!F10</f>
        <v>0</v>
      </c>
      <c r="G33" s="5">
        <f>SalaryModule!G10</f>
        <v>0</v>
      </c>
      <c r="H33" s="5">
        <f>SalaryModule!H10</f>
        <v>0</v>
      </c>
      <c r="I33" s="5">
        <f>SalaryModule!I10</f>
        <v>0</v>
      </c>
      <c r="J33" s="5">
        <f>SalaryModule!J10</f>
        <v>0</v>
      </c>
      <c r="K33" s="5">
        <f>SalaryModule!K10</f>
        <v>0</v>
      </c>
      <c r="L33" s="5">
        <f>SalaryModule!L10</f>
        <v>0</v>
      </c>
      <c r="M33" s="5">
        <f>SalaryModule!M10</f>
        <v>0</v>
      </c>
      <c r="N33" s="6">
        <f t="shared" si="4"/>
        <v>0</v>
      </c>
    </row>
    <row r="34" spans="1:14" x14ac:dyDescent="0.2">
      <c r="A34" t="s">
        <v>87</v>
      </c>
      <c r="B34" s="5">
        <f>LoanModule!D9</f>
        <v>300</v>
      </c>
      <c r="C34" s="5">
        <f>LoanModule!D10</f>
        <v>295.91708171347585</v>
      </c>
      <c r="D34" s="5">
        <f>LoanModule!D11</f>
        <v>291.80694397170828</v>
      </c>
      <c r="E34" s="5">
        <f>LoanModule!D12</f>
        <v>287.66940531166222</v>
      </c>
      <c r="F34" s="5">
        <f>LoanModule!D13</f>
        <v>283.5042830605492</v>
      </c>
      <c r="G34" s="5">
        <f>LoanModule!D14</f>
        <v>279.31139332776212</v>
      </c>
      <c r="H34" s="5">
        <f>LoanModule!D15</f>
        <v>275.09055099675641</v>
      </c>
      <c r="I34" s="5">
        <f>LoanModule!D16</f>
        <v>270.84156971687736</v>
      </c>
      <c r="J34" s="5">
        <f>LoanModule!D17</f>
        <v>266.5642618951324</v>
      </c>
      <c r="K34" s="5">
        <f>LoanModule!D18</f>
        <v>262.25843868790918</v>
      </c>
      <c r="L34" s="5">
        <f>LoanModule!D19</f>
        <v>257.92390999263779</v>
      </c>
      <c r="M34" s="5">
        <f>LoanModule!D20</f>
        <v>253.56048443939792</v>
      </c>
      <c r="N34" s="6">
        <f t="shared" si="4"/>
        <v>3324.4483231138688</v>
      </c>
    </row>
    <row r="35" spans="1:14" x14ac:dyDescent="0.2">
      <c r="A35" t="s">
        <v>88</v>
      </c>
      <c r="B35" s="5">
        <f>DATA!B61*DATA!B66</f>
        <v>0</v>
      </c>
      <c r="C35" s="5">
        <f>DATA!B61*DATA!C66</f>
        <v>0</v>
      </c>
      <c r="D35" s="5">
        <f>DATA!B61*DATA!D66</f>
        <v>0</v>
      </c>
      <c r="E35" s="5">
        <f>DATA!B61*DATA!E66</f>
        <v>0</v>
      </c>
      <c r="F35" s="5">
        <f>DATA!B61*DATA!F66</f>
        <v>0</v>
      </c>
      <c r="G35" s="5">
        <f>DATA!B61*DATA!G66</f>
        <v>0</v>
      </c>
      <c r="H35" s="5">
        <f>DATA!B61*DATA!H66</f>
        <v>0</v>
      </c>
      <c r="I35" s="5">
        <f>DATA!B61*DATA!I66</f>
        <v>0</v>
      </c>
      <c r="J35" s="5">
        <f>DATA!B61*DATA!J66</f>
        <v>0</v>
      </c>
      <c r="K35" s="5">
        <f>DATA!B61*DATA!K66</f>
        <v>0</v>
      </c>
      <c r="L35" s="5">
        <f>DATA!B61*DATA!L66</f>
        <v>0</v>
      </c>
      <c r="M35" s="5">
        <f>DATA!B61*DATA!M66</f>
        <v>0</v>
      </c>
      <c r="N35" s="6">
        <f t="shared" si="4"/>
        <v>0</v>
      </c>
    </row>
    <row r="36" spans="1:14" x14ac:dyDescent="0.2">
      <c r="A36" t="s">
        <v>89</v>
      </c>
      <c r="B36" s="5">
        <f>DATA!B70</f>
        <v>208.33333333333331</v>
      </c>
      <c r="C36" s="5">
        <f>DATA!C70</f>
        <v>208.33333333333331</v>
      </c>
      <c r="D36" s="5">
        <f>DATA!D70</f>
        <v>208.33333333333331</v>
      </c>
      <c r="E36" s="5">
        <f>DATA!E70</f>
        <v>208.33333333333331</v>
      </c>
      <c r="F36" s="5">
        <f>DATA!F70</f>
        <v>208.33333333333331</v>
      </c>
      <c r="G36" s="5">
        <f>DATA!G70</f>
        <v>208.33333333333331</v>
      </c>
      <c r="H36" s="5">
        <f>DATA!H70</f>
        <v>208.33333333333331</v>
      </c>
      <c r="I36" s="5">
        <f>DATA!I70</f>
        <v>208.33333333333331</v>
      </c>
      <c r="J36" s="5">
        <f>DATA!J70</f>
        <v>208.33333333333331</v>
      </c>
      <c r="K36" s="5">
        <f>DATA!K70</f>
        <v>208.33333333333331</v>
      </c>
      <c r="L36" s="5">
        <f>DATA!L70</f>
        <v>208.33333333333331</v>
      </c>
      <c r="M36" s="5">
        <f>DATA!M70</f>
        <v>208.33333333333331</v>
      </c>
      <c r="N36" s="6">
        <f t="shared" si="4"/>
        <v>2500</v>
      </c>
    </row>
    <row r="37" spans="1:14" x14ac:dyDescent="0.2">
      <c r="A37" s="4" t="s">
        <v>90</v>
      </c>
      <c r="B37" s="7">
        <f t="shared" ref="B37:M37" si="5">SUM(B18:B36)</f>
        <v>5129.583333333333</v>
      </c>
      <c r="C37" s="7">
        <f t="shared" si="5"/>
        <v>2142.9625400468094</v>
      </c>
      <c r="D37" s="7">
        <f t="shared" si="5"/>
        <v>2156.9645160175419</v>
      </c>
      <c r="E37" s="7">
        <f t="shared" si="5"/>
        <v>2171.6170945556169</v>
      </c>
      <c r="F37" s="7">
        <f t="shared" si="5"/>
        <v>2186.9494183583074</v>
      </c>
      <c r="G37" s="7">
        <f t="shared" si="5"/>
        <v>2202.9920032200052</v>
      </c>
      <c r="H37" s="7">
        <f t="shared" si="5"/>
        <v>2219.7768048915837</v>
      </c>
      <c r="I37" s="7">
        <f t="shared" si="5"/>
        <v>2237.3372892459279</v>
      </c>
      <c r="J37" s="7">
        <f t="shared" si="5"/>
        <v>2255.7085059142014</v>
      </c>
      <c r="K37" s="7">
        <f t="shared" si="5"/>
        <v>2274.9271655656203</v>
      </c>
      <c r="L37" s="7">
        <f t="shared" si="5"/>
        <v>2295.031721012142</v>
      </c>
      <c r="M37" s="7">
        <f t="shared" si="5"/>
        <v>2316.0624523285237</v>
      </c>
      <c r="N37" s="7">
        <f t="shared" si="4"/>
        <v>29589.912844489609</v>
      </c>
    </row>
    <row r="39" spans="1:14" x14ac:dyDescent="0.2">
      <c r="A39" s="4" t="s">
        <v>91</v>
      </c>
      <c r="B39" s="9">
        <f t="shared" ref="B39:M39" si="6">B14-B37</f>
        <v>-134.58333333333303</v>
      </c>
      <c r="C39" s="9">
        <f t="shared" si="6"/>
        <v>2952.4369599531919</v>
      </c>
      <c r="D39" s="9">
        <f t="shared" si="6"/>
        <v>3040.8525139324579</v>
      </c>
      <c r="E39" s="9">
        <f t="shared" si="6"/>
        <v>3130.6760576963788</v>
      </c>
      <c r="F39" s="9">
        <f t="shared" si="6"/>
        <v>3221.9198262539549</v>
      </c>
      <c r="G39" s="9">
        <f t="shared" si="6"/>
        <v>3314.595513208963</v>
      </c>
      <c r="H39" s="9">
        <f t="shared" si="6"/>
        <v>3408.7142206176072</v>
      </c>
      <c r="I39" s="9">
        <f t="shared" si="6"/>
        <v>3504.2864058759956</v>
      </c>
      <c r="J39" s="9">
        <f t="shared" si="6"/>
        <v>3601.3218254796716</v>
      </c>
      <c r="K39" s="9">
        <f t="shared" si="6"/>
        <v>3699.8294754892713</v>
      </c>
      <c r="L39" s="9">
        <f t="shared" si="6"/>
        <v>3799.8175285279513</v>
      </c>
      <c r="M39" s="9">
        <f t="shared" si="6"/>
        <v>3901.293267127327</v>
      </c>
      <c r="N39" s="9">
        <f>SUM(B39:M39)</f>
        <v>37441.160260829434</v>
      </c>
    </row>
    <row r="41" spans="1:14" x14ac:dyDescent="0.2">
      <c r="A41" t="s">
        <v>92</v>
      </c>
      <c r="B41" s="5">
        <f>N41/12</f>
        <v>0</v>
      </c>
      <c r="C41" s="5">
        <f>N41/12</f>
        <v>0</v>
      </c>
      <c r="D41" s="5">
        <f>N41/12</f>
        <v>0</v>
      </c>
      <c r="E41" s="5">
        <f>N41/12</f>
        <v>0</v>
      </c>
      <c r="F41" s="5">
        <f>N41/12</f>
        <v>0</v>
      </c>
      <c r="G41" s="5">
        <f>N41/12</f>
        <v>0</v>
      </c>
      <c r="H41" s="5">
        <f>N41/12</f>
        <v>0</v>
      </c>
      <c r="I41" s="5">
        <f>N41/12</f>
        <v>0</v>
      </c>
      <c r="J41" s="5">
        <f>N41/12</f>
        <v>0</v>
      </c>
      <c r="K41" s="5">
        <f>N41/12</f>
        <v>0</v>
      </c>
      <c r="L41" s="5">
        <f>N41/12</f>
        <v>0</v>
      </c>
      <c r="M41" s="5">
        <f>N41/12</f>
        <v>0</v>
      </c>
      <c r="N41" s="6">
        <f>IF(N39&lt;=0,0,N39*DATA!B62)</f>
        <v>0</v>
      </c>
    </row>
    <row r="43" spans="1:14" x14ac:dyDescent="0.2">
      <c r="A43" s="4" t="s">
        <v>93</v>
      </c>
      <c r="B43" s="8">
        <f t="shared" ref="B43:M43" si="7">B39-B41</f>
        <v>-134.58333333333303</v>
      </c>
      <c r="C43" s="8">
        <f t="shared" si="7"/>
        <v>2952.4369599531919</v>
      </c>
      <c r="D43" s="8">
        <f t="shared" si="7"/>
        <v>3040.8525139324579</v>
      </c>
      <c r="E43" s="8">
        <f t="shared" si="7"/>
        <v>3130.6760576963788</v>
      </c>
      <c r="F43" s="8">
        <f t="shared" si="7"/>
        <v>3221.9198262539549</v>
      </c>
      <c r="G43" s="8">
        <f t="shared" si="7"/>
        <v>3314.595513208963</v>
      </c>
      <c r="H43" s="8">
        <f t="shared" si="7"/>
        <v>3408.7142206176072</v>
      </c>
      <c r="I43" s="8">
        <f t="shared" si="7"/>
        <v>3504.2864058759956</v>
      </c>
      <c r="J43" s="8">
        <f t="shared" si="7"/>
        <v>3601.3218254796716</v>
      </c>
      <c r="K43" s="8">
        <f t="shared" si="7"/>
        <v>3699.8294754892713</v>
      </c>
      <c r="L43" s="8">
        <f t="shared" si="7"/>
        <v>3799.8175285279513</v>
      </c>
      <c r="M43" s="8">
        <f t="shared" si="7"/>
        <v>3901.293267127327</v>
      </c>
      <c r="N43" s="8">
        <f>SUM(B43:M43)</f>
        <v>37441.160260829434</v>
      </c>
    </row>
    <row r="48" spans="1:14" x14ac:dyDescent="0.2">
      <c r="A48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8"/>
  <sheetViews>
    <sheetView topLeftCell="B17" workbookViewId="0">
      <selection activeCell="N39" sqref="N39"/>
    </sheetView>
  </sheetViews>
  <sheetFormatPr baseColWidth="10" defaultColWidth="8.83203125" defaultRowHeight="15" x14ac:dyDescent="0.2"/>
  <cols>
    <col min="1" max="1" width="31.6640625" bestFit="1" customWidth="1"/>
    <col min="2" max="12" width="9.33203125" bestFit="1" customWidth="1"/>
    <col min="13" max="13" width="10.5" bestFit="1" customWidth="1"/>
    <col min="14" max="14" width="8.1640625" bestFit="1" customWidth="1"/>
  </cols>
  <sheetData>
    <row r="1" spans="1:14" x14ac:dyDescent="0.2">
      <c r="A1" t="str">
        <f>DATA!B1</f>
        <v>Example Food Truck</v>
      </c>
    </row>
    <row r="2" spans="1:14" x14ac:dyDescent="0.2">
      <c r="A2" t="s">
        <v>77</v>
      </c>
    </row>
    <row r="3" spans="1:14" x14ac:dyDescent="0.2">
      <c r="A3" t="s">
        <v>95</v>
      </c>
    </row>
    <row r="5" spans="1:14" x14ac:dyDescent="0.2">
      <c r="A5" t="s">
        <v>17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95</v>
      </c>
    </row>
    <row r="6" spans="1:14" x14ac:dyDescent="0.2">
      <c r="A6" s="4" t="s">
        <v>79</v>
      </c>
    </row>
    <row r="7" spans="1:14" x14ac:dyDescent="0.2">
      <c r="A7" t="str">
        <f>SUBSTITUTE(DATA!A26,"Days to Get Paid","",1)</f>
        <v>Food Truck Sales</v>
      </c>
      <c r="B7" s="5">
        <f>DATA!N31*DATA!N29</f>
        <v>17141.417755180853</v>
      </c>
      <c r="C7" s="5">
        <f>DATA!O31*DATA!O29</f>
        <v>17485.960252059984</v>
      </c>
      <c r="D7" s="5">
        <f>DATA!P31*DATA!P29</f>
        <v>17837.42805312639</v>
      </c>
      <c r="E7" s="5">
        <f>DATA!Q31*DATA!Q29</f>
        <v>18195.96035699423</v>
      </c>
      <c r="F7" s="5">
        <f>DATA!R31*DATA!R29</f>
        <v>18561.699160169814</v>
      </c>
      <c r="G7" s="5">
        <f>DATA!S31*DATA!S29</f>
        <v>18934.789313289228</v>
      </c>
      <c r="H7" s="5">
        <f>DATA!T31*DATA!T29</f>
        <v>19315.378578486343</v>
      </c>
      <c r="I7" s="5">
        <f>DATA!U31*DATA!U29</f>
        <v>19703.61768791392</v>
      </c>
      <c r="J7" s="5">
        <f>DATA!V31*DATA!V29</f>
        <v>20099.66040344099</v>
      </c>
      <c r="K7" s="5">
        <f>DATA!W31*DATA!W29</f>
        <v>20503.663577550156</v>
      </c>
      <c r="L7" s="5">
        <f>DATA!X31*DATA!X29</f>
        <v>20915.787215458917</v>
      </c>
      <c r="M7" s="5">
        <f>DATA!Y31*DATA!Y29</f>
        <v>21336.194538489643</v>
      </c>
      <c r="N7" s="6">
        <f>SUM(B7:M7)</f>
        <v>230031.5568921605</v>
      </c>
    </row>
    <row r="8" spans="1:14" x14ac:dyDescent="0.2">
      <c r="A8" s="4" t="s">
        <v>80</v>
      </c>
      <c r="B8" s="8">
        <f t="shared" ref="B8:M8" si="0">SUM(B7:B7)</f>
        <v>17141.417755180853</v>
      </c>
      <c r="C8" s="8">
        <f t="shared" si="0"/>
        <v>17485.960252059984</v>
      </c>
      <c r="D8" s="8">
        <f t="shared" si="0"/>
        <v>17837.42805312639</v>
      </c>
      <c r="E8" s="8">
        <f t="shared" si="0"/>
        <v>18195.96035699423</v>
      </c>
      <c r="F8" s="8">
        <f t="shared" si="0"/>
        <v>18561.699160169814</v>
      </c>
      <c r="G8" s="8">
        <f t="shared" si="0"/>
        <v>18934.789313289228</v>
      </c>
      <c r="H8" s="8">
        <f t="shared" si="0"/>
        <v>19315.378578486343</v>
      </c>
      <c r="I8" s="8">
        <f t="shared" si="0"/>
        <v>19703.61768791392</v>
      </c>
      <c r="J8" s="8">
        <f t="shared" si="0"/>
        <v>20099.66040344099</v>
      </c>
      <c r="K8" s="8">
        <f t="shared" si="0"/>
        <v>20503.663577550156</v>
      </c>
      <c r="L8" s="8">
        <f t="shared" si="0"/>
        <v>20915.787215458917</v>
      </c>
      <c r="M8" s="8">
        <f t="shared" si="0"/>
        <v>21336.194538489643</v>
      </c>
      <c r="N8" s="8">
        <f>SUM(B8:M8)</f>
        <v>230031.5568921605</v>
      </c>
    </row>
    <row r="10" spans="1:14" x14ac:dyDescent="0.2">
      <c r="A10" t="s">
        <v>81</v>
      </c>
      <c r="B10" s="5">
        <f>DATA!N67</f>
        <v>5142.4253265542557</v>
      </c>
      <c r="C10" s="5">
        <f>DATA!O67</f>
        <v>5245.7880756179957</v>
      </c>
      <c r="D10" s="5">
        <f>DATA!P67</f>
        <v>5351.228415937916</v>
      </c>
      <c r="E10" s="5">
        <f>DATA!Q67</f>
        <v>5458.7881070982694</v>
      </c>
      <c r="F10" s="5">
        <f>DATA!R67</f>
        <v>5568.5097480509439</v>
      </c>
      <c r="G10" s="5">
        <f>DATA!S67</f>
        <v>5680.436793986768</v>
      </c>
      <c r="H10" s="5">
        <f>DATA!T67</f>
        <v>5794.6135735459029</v>
      </c>
      <c r="I10" s="5">
        <f>DATA!U67</f>
        <v>5911.0853063741752</v>
      </c>
      <c r="J10" s="5">
        <f>DATA!V67</f>
        <v>6029.8981210322972</v>
      </c>
      <c r="K10" s="5">
        <f>DATA!W67</f>
        <v>6151.0990732650462</v>
      </c>
      <c r="L10" s="5">
        <f>DATA!X67</f>
        <v>6274.7361646376748</v>
      </c>
      <c r="M10" s="5">
        <f>DATA!Y67</f>
        <v>6400.8583615468924</v>
      </c>
      <c r="N10" s="6">
        <f>SUM(B10:M10)</f>
        <v>69009.467067648133</v>
      </c>
    </row>
    <row r="11" spans="1:14" x14ac:dyDescent="0.2">
      <c r="A11" t="s">
        <v>82</v>
      </c>
      <c r="B11" s="5">
        <f>DATA!N68</f>
        <v>5656.6678592096814</v>
      </c>
      <c r="C11" s="5">
        <f>DATA!O68</f>
        <v>5770.3668831797959</v>
      </c>
      <c r="D11" s="5">
        <f>DATA!P68</f>
        <v>5886.3512575317081</v>
      </c>
      <c r="E11" s="5">
        <f>DATA!Q68</f>
        <v>6004.6669178080965</v>
      </c>
      <c r="F11" s="5">
        <f>DATA!R68</f>
        <v>6125.3607228560395</v>
      </c>
      <c r="G11" s="5">
        <f>DATA!S68</f>
        <v>6248.4804733854453</v>
      </c>
      <c r="H11" s="5">
        <f>DATA!T68</f>
        <v>6374.0749309004941</v>
      </c>
      <c r="I11" s="5">
        <f>DATA!U68</f>
        <v>6502.1938370115931</v>
      </c>
      <c r="J11" s="5">
        <f>DATA!V68</f>
        <v>6632.8879331355274</v>
      </c>
      <c r="K11" s="5">
        <f>DATA!W68</f>
        <v>6766.208980591553</v>
      </c>
      <c r="L11" s="5">
        <f>DATA!X68</f>
        <v>6902.2097811014428</v>
      </c>
      <c r="M11" s="5">
        <f>DATA!Y68</f>
        <v>7040.9441977015822</v>
      </c>
      <c r="N11" s="6">
        <f>SUM(B11:M11)</f>
        <v>75910.413774412969</v>
      </c>
    </row>
    <row r="12" spans="1:14" x14ac:dyDescent="0.2">
      <c r="A12" s="4" t="s">
        <v>83</v>
      </c>
      <c r="B12" s="8">
        <f t="shared" ref="B12:M12" si="1">SUM(B10:B11)</f>
        <v>10799.093185763937</v>
      </c>
      <c r="C12" s="8">
        <f t="shared" si="1"/>
        <v>11016.154958797792</v>
      </c>
      <c r="D12" s="8">
        <f t="shared" si="1"/>
        <v>11237.579673469623</v>
      </c>
      <c r="E12" s="8">
        <f t="shared" si="1"/>
        <v>11463.455024906365</v>
      </c>
      <c r="F12" s="8">
        <f t="shared" si="1"/>
        <v>11693.870470906983</v>
      </c>
      <c r="G12" s="8">
        <f t="shared" si="1"/>
        <v>11928.917267372213</v>
      </c>
      <c r="H12" s="8">
        <f t="shared" si="1"/>
        <v>12168.688504446396</v>
      </c>
      <c r="I12" s="8">
        <f t="shared" si="1"/>
        <v>12413.279143385767</v>
      </c>
      <c r="J12" s="8">
        <f t="shared" si="1"/>
        <v>12662.786054167824</v>
      </c>
      <c r="K12" s="8">
        <f t="shared" si="1"/>
        <v>12917.308053856599</v>
      </c>
      <c r="L12" s="8">
        <f t="shared" si="1"/>
        <v>13176.945945739117</v>
      </c>
      <c r="M12" s="8">
        <f t="shared" si="1"/>
        <v>13441.802559248474</v>
      </c>
      <c r="N12" s="8">
        <f>SUM(B12:M12)</f>
        <v>144919.88084206107</v>
      </c>
    </row>
    <row r="14" spans="1:14" x14ac:dyDescent="0.2">
      <c r="A14" s="4" t="s">
        <v>84</v>
      </c>
      <c r="B14" s="9">
        <f t="shared" ref="B14:M14" si="2">B8-B12</f>
        <v>6342.3245694169163</v>
      </c>
      <c r="C14" s="9">
        <f t="shared" si="2"/>
        <v>6469.8052932621922</v>
      </c>
      <c r="D14" s="9">
        <f t="shared" si="2"/>
        <v>6599.8483796567671</v>
      </c>
      <c r="E14" s="9">
        <f t="shared" si="2"/>
        <v>6732.5053320878651</v>
      </c>
      <c r="F14" s="9">
        <f t="shared" si="2"/>
        <v>6867.8286892628312</v>
      </c>
      <c r="G14" s="9">
        <f t="shared" si="2"/>
        <v>7005.8720459170145</v>
      </c>
      <c r="H14" s="9">
        <f t="shared" si="2"/>
        <v>7146.6900740399469</v>
      </c>
      <c r="I14" s="9">
        <f t="shared" si="2"/>
        <v>7290.3385445281529</v>
      </c>
      <c r="J14" s="9">
        <f t="shared" si="2"/>
        <v>7436.8743492731664</v>
      </c>
      <c r="K14" s="9">
        <f t="shared" si="2"/>
        <v>7586.3555236935572</v>
      </c>
      <c r="L14" s="9">
        <f t="shared" si="2"/>
        <v>7738.8412697198</v>
      </c>
      <c r="M14" s="9">
        <f t="shared" si="2"/>
        <v>7894.3919792411689</v>
      </c>
      <c r="N14" s="9">
        <f>SUM(B14:M14)</f>
        <v>85111.67605009937</v>
      </c>
    </row>
    <row r="15" spans="1:14" x14ac:dyDescent="0.2">
      <c r="A15" t="s">
        <v>85</v>
      </c>
      <c r="B15" s="2">
        <f t="shared" ref="B15:N15" si="3">IF(B8=0,0,B14/B8)</f>
        <v>0.37000000000000005</v>
      </c>
      <c r="C15" s="2">
        <f t="shared" si="3"/>
        <v>0.36999999999999988</v>
      </c>
      <c r="D15" s="2">
        <f t="shared" si="3"/>
        <v>0.37000000000000016</v>
      </c>
      <c r="E15" s="2">
        <f t="shared" si="3"/>
        <v>0.37</v>
      </c>
      <c r="F15" s="2">
        <f t="shared" si="3"/>
        <v>0.37</v>
      </c>
      <c r="G15" s="2">
        <f t="shared" si="3"/>
        <v>0.37</v>
      </c>
      <c r="H15" s="2">
        <f t="shared" si="3"/>
        <v>0.37</v>
      </c>
      <c r="I15" s="2">
        <f t="shared" si="3"/>
        <v>0.37000000000000011</v>
      </c>
      <c r="J15" s="2">
        <f t="shared" si="3"/>
        <v>0.37</v>
      </c>
      <c r="K15" s="2">
        <f t="shared" si="3"/>
        <v>0.37</v>
      </c>
      <c r="L15" s="2">
        <f t="shared" si="3"/>
        <v>0.37000000000000005</v>
      </c>
      <c r="M15" s="2">
        <f t="shared" si="3"/>
        <v>0.37000000000000005</v>
      </c>
      <c r="N15" s="10">
        <f t="shared" si="3"/>
        <v>0.36999999999999994</v>
      </c>
    </row>
    <row r="17" spans="1:14" x14ac:dyDescent="0.2">
      <c r="A17" s="4" t="s">
        <v>19</v>
      </c>
    </row>
    <row r="18" spans="1:14" x14ac:dyDescent="0.2">
      <c r="A18" t="str">
        <f>DATA!A44</f>
        <v>Accounting</v>
      </c>
      <c r="B18" s="5">
        <f>DATA!N44</f>
        <v>100</v>
      </c>
      <c r="C18" s="5">
        <f>DATA!O44</f>
        <v>100</v>
      </c>
      <c r="D18" s="5">
        <f>DATA!P44</f>
        <v>100</v>
      </c>
      <c r="E18" s="5">
        <f>DATA!Q44</f>
        <v>100</v>
      </c>
      <c r="F18" s="5">
        <f>DATA!R44</f>
        <v>100</v>
      </c>
      <c r="G18" s="5">
        <f>DATA!S44</f>
        <v>100</v>
      </c>
      <c r="H18" s="5">
        <f>DATA!T44</f>
        <v>100</v>
      </c>
      <c r="I18" s="5">
        <f>DATA!U44</f>
        <v>100</v>
      </c>
      <c r="J18" s="5">
        <f>DATA!V44</f>
        <v>100</v>
      </c>
      <c r="K18" s="5">
        <f>DATA!W44</f>
        <v>100</v>
      </c>
      <c r="L18" s="5">
        <f>DATA!X44</f>
        <v>100</v>
      </c>
      <c r="M18" s="5">
        <f>DATA!Y44</f>
        <v>100</v>
      </c>
      <c r="N18" s="6">
        <f t="shared" ref="N18:N37" si="4">SUM(B18:M18)</f>
        <v>1200</v>
      </c>
    </row>
    <row r="19" spans="1:14" x14ac:dyDescent="0.2">
      <c r="A19" t="str">
        <f>DATA!A45</f>
        <v>Advertising</v>
      </c>
      <c r="B19" s="5">
        <f>DATA!N45</f>
        <v>359.17126520442605</v>
      </c>
      <c r="C19" s="5">
        <f>DATA!O45</f>
        <v>377.12982846464735</v>
      </c>
      <c r="D19" s="5">
        <f>DATA!P45</f>
        <v>395.98631988787974</v>
      </c>
      <c r="E19" s="5">
        <f>DATA!Q45</f>
        <v>415.78563588227377</v>
      </c>
      <c r="F19" s="5">
        <f>DATA!R45</f>
        <v>436.57491767638749</v>
      </c>
      <c r="G19" s="5">
        <f>DATA!S45</f>
        <v>458.40366356020689</v>
      </c>
      <c r="H19" s="5">
        <f>DATA!T45</f>
        <v>481.32384673821724</v>
      </c>
      <c r="I19" s="5">
        <f>DATA!U45</f>
        <v>505.39003907512813</v>
      </c>
      <c r="J19" s="5">
        <f>DATA!V45</f>
        <v>530.65954102888452</v>
      </c>
      <c r="K19" s="5">
        <f>DATA!W45</f>
        <v>557.1925180803288</v>
      </c>
      <c r="L19" s="5">
        <f>DATA!X45</f>
        <v>585.05214398434521</v>
      </c>
      <c r="M19" s="5">
        <f>DATA!Y45</f>
        <v>614.30475118356253</v>
      </c>
      <c r="N19" s="6">
        <f t="shared" si="4"/>
        <v>5716.9744707662885</v>
      </c>
    </row>
    <row r="20" spans="1:14" x14ac:dyDescent="0.2">
      <c r="A20" t="str">
        <f>DATA!A47</f>
        <v>Vehicle/Liability Insurance</v>
      </c>
      <c r="B20" s="5">
        <f>DATA!N47</f>
        <v>0</v>
      </c>
      <c r="C20" s="5">
        <f>DATA!O47</f>
        <v>0</v>
      </c>
      <c r="D20" s="5">
        <f>DATA!P47</f>
        <v>0</v>
      </c>
      <c r="E20" s="5">
        <f>DATA!Q47</f>
        <v>0</v>
      </c>
      <c r="F20" s="5">
        <f>DATA!R47</f>
        <v>0</v>
      </c>
      <c r="G20" s="5">
        <f>DATA!S47</f>
        <v>0</v>
      </c>
      <c r="H20" s="5">
        <f>DATA!T47</f>
        <v>0</v>
      </c>
      <c r="I20" s="5">
        <f>DATA!U47</f>
        <v>0</v>
      </c>
      <c r="J20" s="5">
        <f>DATA!V47</f>
        <v>0</v>
      </c>
      <c r="K20" s="5">
        <f>DATA!W47</f>
        <v>0</v>
      </c>
      <c r="L20" s="5">
        <f>DATA!X47</f>
        <v>0</v>
      </c>
      <c r="M20" s="5">
        <f>DATA!Y47</f>
        <v>0</v>
      </c>
      <c r="N20" s="6">
        <f t="shared" si="4"/>
        <v>0</v>
      </c>
    </row>
    <row r="21" spans="1:14" x14ac:dyDescent="0.2">
      <c r="A21" t="str">
        <f>DATA!A48</f>
        <v>Legal Professional</v>
      </c>
      <c r="B21" s="5">
        <f>DATA!N48</f>
        <v>0</v>
      </c>
      <c r="C21" s="5">
        <f>DATA!O48</f>
        <v>0</v>
      </c>
      <c r="D21" s="5">
        <f>DATA!P48</f>
        <v>0</v>
      </c>
      <c r="E21" s="5">
        <f>DATA!Q48</f>
        <v>0</v>
      </c>
      <c r="F21" s="5">
        <f>DATA!R48</f>
        <v>0</v>
      </c>
      <c r="G21" s="5">
        <f>DATA!S48</f>
        <v>0</v>
      </c>
      <c r="H21" s="5">
        <f>DATA!T48</f>
        <v>0</v>
      </c>
      <c r="I21" s="5">
        <f>DATA!U48</f>
        <v>0</v>
      </c>
      <c r="J21" s="5">
        <f>DATA!V48</f>
        <v>0</v>
      </c>
      <c r="K21" s="5">
        <f>DATA!W48</f>
        <v>0</v>
      </c>
      <c r="L21" s="5">
        <f>DATA!X48</f>
        <v>0</v>
      </c>
      <c r="M21" s="5">
        <f>DATA!Y48</f>
        <v>0</v>
      </c>
      <c r="N21" s="6">
        <f t="shared" si="4"/>
        <v>0</v>
      </c>
    </row>
    <row r="22" spans="1:14" x14ac:dyDescent="0.2">
      <c r="A22" t="str">
        <f>DATA!A49</f>
        <v>Licenses</v>
      </c>
      <c r="B22" s="5">
        <f>DATA!N49</f>
        <v>0</v>
      </c>
      <c r="C22" s="5">
        <f>DATA!O49</f>
        <v>0</v>
      </c>
      <c r="D22" s="5">
        <f>DATA!P49</f>
        <v>0</v>
      </c>
      <c r="E22" s="5">
        <f>DATA!Q49</f>
        <v>0</v>
      </c>
      <c r="F22" s="5">
        <f>DATA!R49</f>
        <v>0</v>
      </c>
      <c r="G22" s="5">
        <f>DATA!S49</f>
        <v>0</v>
      </c>
      <c r="H22" s="5">
        <f>DATA!T49</f>
        <v>0</v>
      </c>
      <c r="I22" s="5">
        <f>DATA!U49</f>
        <v>0</v>
      </c>
      <c r="J22" s="5">
        <f>DATA!V49</f>
        <v>0</v>
      </c>
      <c r="K22" s="5">
        <f>DATA!W49</f>
        <v>0</v>
      </c>
      <c r="L22" s="5">
        <f>DATA!X49</f>
        <v>0</v>
      </c>
      <c r="M22" s="5">
        <f>DATA!Y49</f>
        <v>0</v>
      </c>
      <c r="N22" s="6">
        <f t="shared" si="4"/>
        <v>0</v>
      </c>
    </row>
    <row r="23" spans="1:14" x14ac:dyDescent="0.2">
      <c r="A23" t="str">
        <f>DATA!A50</f>
        <v>Fuel and Vehicle Repairs</v>
      </c>
      <c r="B23" s="5">
        <f>DATA!N50</f>
        <v>300</v>
      </c>
      <c r="C23" s="5">
        <f>DATA!O50</f>
        <v>300</v>
      </c>
      <c r="D23" s="5">
        <f>DATA!P50</f>
        <v>300</v>
      </c>
      <c r="E23" s="5">
        <f>DATA!Q50</f>
        <v>300</v>
      </c>
      <c r="F23" s="5">
        <f>DATA!R50</f>
        <v>300</v>
      </c>
      <c r="G23" s="5">
        <f>DATA!S50</f>
        <v>300</v>
      </c>
      <c r="H23" s="5">
        <f>DATA!T50</f>
        <v>300</v>
      </c>
      <c r="I23" s="5">
        <f>DATA!U50</f>
        <v>300</v>
      </c>
      <c r="J23" s="5">
        <f>DATA!V50</f>
        <v>300</v>
      </c>
      <c r="K23" s="5">
        <f>DATA!W50</f>
        <v>300</v>
      </c>
      <c r="L23" s="5">
        <f>DATA!X50</f>
        <v>300</v>
      </c>
      <c r="M23" s="5">
        <f>DATA!Y50</f>
        <v>300</v>
      </c>
      <c r="N23" s="6">
        <f t="shared" si="4"/>
        <v>3600</v>
      </c>
    </row>
    <row r="24" spans="1:14" x14ac:dyDescent="0.2">
      <c r="A24" t="str">
        <f>DATA!A51</f>
        <v>Credit Card Processing Fees</v>
      </c>
      <c r="B24" s="5">
        <f>DATA!N51</f>
        <v>471.38898826747345</v>
      </c>
      <c r="C24" s="5">
        <f>DATA!O51</f>
        <v>480.86390693164958</v>
      </c>
      <c r="D24" s="5">
        <f>DATA!P51</f>
        <v>490.52927146097574</v>
      </c>
      <c r="E24" s="5">
        <f>DATA!Q51</f>
        <v>500.38890981734136</v>
      </c>
      <c r="F24" s="5">
        <f>DATA!R51</f>
        <v>510.4467269046699</v>
      </c>
      <c r="G24" s="5">
        <f>DATA!S51</f>
        <v>520.70670611545381</v>
      </c>
      <c r="H24" s="5">
        <f>DATA!T51</f>
        <v>531.17291090837443</v>
      </c>
      <c r="I24" s="5">
        <f>DATA!U51</f>
        <v>541.84948641763276</v>
      </c>
      <c r="J24" s="5">
        <f>DATA!V51</f>
        <v>552.74066109462728</v>
      </c>
      <c r="K24" s="5">
        <f>DATA!W51</f>
        <v>563.85074838262926</v>
      </c>
      <c r="L24" s="5">
        <f>DATA!X51</f>
        <v>575.18414842512027</v>
      </c>
      <c r="M24" s="5">
        <f>DATA!Y51</f>
        <v>586.74534980846522</v>
      </c>
      <c r="N24" s="6">
        <f t="shared" si="4"/>
        <v>6325.8678145344129</v>
      </c>
    </row>
    <row r="25" spans="1:14" x14ac:dyDescent="0.2">
      <c r="A25" t="str">
        <f>DATA!A52</f>
        <v>Office Supplies</v>
      </c>
      <c r="B25" s="5">
        <f>DATA!N52</f>
        <v>100</v>
      </c>
      <c r="C25" s="5">
        <f>DATA!O52</f>
        <v>100</v>
      </c>
      <c r="D25" s="5">
        <f>DATA!P52</f>
        <v>100</v>
      </c>
      <c r="E25" s="5">
        <f>DATA!Q52</f>
        <v>100</v>
      </c>
      <c r="F25" s="5">
        <f>DATA!R52</f>
        <v>100</v>
      </c>
      <c r="G25" s="5">
        <f>DATA!S52</f>
        <v>100</v>
      </c>
      <c r="H25" s="5">
        <f>DATA!T52</f>
        <v>100</v>
      </c>
      <c r="I25" s="5">
        <f>DATA!U52</f>
        <v>100</v>
      </c>
      <c r="J25" s="5">
        <f>DATA!V52</f>
        <v>100</v>
      </c>
      <c r="K25" s="5">
        <f>DATA!W52</f>
        <v>100</v>
      </c>
      <c r="L25" s="5">
        <f>DATA!X52</f>
        <v>100</v>
      </c>
      <c r="M25" s="5">
        <f>DATA!Y52</f>
        <v>100</v>
      </c>
      <c r="N25" s="6">
        <f t="shared" si="4"/>
        <v>1200</v>
      </c>
    </row>
    <row r="26" spans="1:14" x14ac:dyDescent="0.2">
      <c r="A26" t="str">
        <f>DATA!A53</f>
        <v>Parking Fees</v>
      </c>
      <c r="B26" s="5">
        <f>DATA!N53</f>
        <v>100</v>
      </c>
      <c r="C26" s="5">
        <f>DATA!O53</f>
        <v>100</v>
      </c>
      <c r="D26" s="5">
        <f>DATA!P53</f>
        <v>100</v>
      </c>
      <c r="E26" s="5">
        <f>DATA!Q53</f>
        <v>100</v>
      </c>
      <c r="F26" s="5">
        <f>DATA!R53</f>
        <v>100</v>
      </c>
      <c r="G26" s="5">
        <f>DATA!S53</f>
        <v>100</v>
      </c>
      <c r="H26" s="5">
        <f>DATA!T53</f>
        <v>100</v>
      </c>
      <c r="I26" s="5">
        <f>DATA!U53</f>
        <v>100</v>
      </c>
      <c r="J26" s="5">
        <f>DATA!V53</f>
        <v>100</v>
      </c>
      <c r="K26" s="5">
        <f>DATA!W53</f>
        <v>100</v>
      </c>
      <c r="L26" s="5">
        <f>DATA!X53</f>
        <v>100</v>
      </c>
      <c r="M26" s="5">
        <f>DATA!Y53</f>
        <v>100</v>
      </c>
      <c r="N26" s="6">
        <f t="shared" si="4"/>
        <v>1200</v>
      </c>
    </row>
    <row r="27" spans="1:14" x14ac:dyDescent="0.2">
      <c r="A27" t="str">
        <f>DATA!A54</f>
        <v>Permits</v>
      </c>
      <c r="B27" s="5">
        <f>DATA!N54</f>
        <v>100</v>
      </c>
      <c r="C27" s="5">
        <f>DATA!O54</f>
        <v>100</v>
      </c>
      <c r="D27" s="5">
        <f>DATA!P54</f>
        <v>100</v>
      </c>
      <c r="E27" s="5">
        <f>DATA!Q54</f>
        <v>100</v>
      </c>
      <c r="F27" s="5">
        <f>DATA!R54</f>
        <v>100</v>
      </c>
      <c r="G27" s="5">
        <f>DATA!S54</f>
        <v>100</v>
      </c>
      <c r="H27" s="5">
        <f>DATA!T54</f>
        <v>100</v>
      </c>
      <c r="I27" s="5">
        <f>DATA!U54</f>
        <v>100</v>
      </c>
      <c r="J27" s="5">
        <f>DATA!V54</f>
        <v>100</v>
      </c>
      <c r="K27" s="5">
        <f>DATA!W54</f>
        <v>100</v>
      </c>
      <c r="L27" s="5">
        <f>DATA!X54</f>
        <v>100</v>
      </c>
      <c r="M27" s="5">
        <f>DATA!Y54</f>
        <v>100</v>
      </c>
      <c r="N27" s="6">
        <f t="shared" si="4"/>
        <v>1200</v>
      </c>
    </row>
    <row r="28" spans="1:14" x14ac:dyDescent="0.2">
      <c r="A28" t="str">
        <f>DATA!A55</f>
        <v>Telephone</v>
      </c>
      <c r="B28" s="5">
        <f>DATA!N55</f>
        <v>100</v>
      </c>
      <c r="C28" s="5">
        <f>DATA!O55</f>
        <v>100</v>
      </c>
      <c r="D28" s="5">
        <f>DATA!P55</f>
        <v>100</v>
      </c>
      <c r="E28" s="5">
        <f>DATA!Q55</f>
        <v>100</v>
      </c>
      <c r="F28" s="5">
        <f>DATA!R55</f>
        <v>100</v>
      </c>
      <c r="G28" s="5">
        <f>DATA!S55</f>
        <v>100</v>
      </c>
      <c r="H28" s="5">
        <f>DATA!T55</f>
        <v>100</v>
      </c>
      <c r="I28" s="5">
        <f>DATA!U55</f>
        <v>100</v>
      </c>
      <c r="J28" s="5">
        <f>DATA!V55</f>
        <v>100</v>
      </c>
      <c r="K28" s="5">
        <f>DATA!W55</f>
        <v>100</v>
      </c>
      <c r="L28" s="5">
        <f>DATA!X55</f>
        <v>100</v>
      </c>
      <c r="M28" s="5">
        <f>DATA!Y55</f>
        <v>100</v>
      </c>
      <c r="N28" s="6">
        <f t="shared" si="4"/>
        <v>1200</v>
      </c>
    </row>
    <row r="29" spans="1:14" x14ac:dyDescent="0.2">
      <c r="A29" t="str">
        <f>DATA!A56</f>
        <v>Travel</v>
      </c>
      <c r="B29" s="5">
        <f>DATA!N56</f>
        <v>100</v>
      </c>
      <c r="C29" s="5">
        <f>DATA!O56</f>
        <v>100</v>
      </c>
      <c r="D29" s="5">
        <f>DATA!P56</f>
        <v>100</v>
      </c>
      <c r="E29" s="5">
        <f>DATA!Q56</f>
        <v>100</v>
      </c>
      <c r="F29" s="5">
        <f>DATA!R56</f>
        <v>100</v>
      </c>
      <c r="G29" s="5">
        <f>DATA!S56</f>
        <v>100</v>
      </c>
      <c r="H29" s="5">
        <f>DATA!T56</f>
        <v>100</v>
      </c>
      <c r="I29" s="5">
        <f>DATA!U56</f>
        <v>100</v>
      </c>
      <c r="J29" s="5">
        <f>DATA!V56</f>
        <v>100</v>
      </c>
      <c r="K29" s="5">
        <f>DATA!W56</f>
        <v>100</v>
      </c>
      <c r="L29" s="5">
        <f>DATA!X56</f>
        <v>100</v>
      </c>
      <c r="M29" s="5">
        <f>DATA!Y56</f>
        <v>100</v>
      </c>
      <c r="N29" s="6">
        <f t="shared" si="4"/>
        <v>1200</v>
      </c>
    </row>
    <row r="30" spans="1:14" x14ac:dyDescent="0.2">
      <c r="A30" t="str">
        <f>DATA!A57</f>
        <v>Uniforms</v>
      </c>
      <c r="B30" s="5">
        <f>DATA!N57</f>
        <v>100</v>
      </c>
      <c r="C30" s="5">
        <f>DATA!O57</f>
        <v>100</v>
      </c>
      <c r="D30" s="5">
        <f>DATA!P57</f>
        <v>100</v>
      </c>
      <c r="E30" s="5">
        <f>DATA!Q57</f>
        <v>100</v>
      </c>
      <c r="F30" s="5">
        <f>DATA!R57</f>
        <v>100</v>
      </c>
      <c r="G30" s="5">
        <f>DATA!S57</f>
        <v>100</v>
      </c>
      <c r="H30" s="5">
        <f>DATA!T57</f>
        <v>100</v>
      </c>
      <c r="I30" s="5">
        <f>DATA!U57</f>
        <v>100</v>
      </c>
      <c r="J30" s="5">
        <f>DATA!V57</f>
        <v>100</v>
      </c>
      <c r="K30" s="5">
        <f>DATA!W57</f>
        <v>100</v>
      </c>
      <c r="L30" s="5">
        <f>DATA!X57</f>
        <v>100</v>
      </c>
      <c r="M30" s="5">
        <f>DATA!Y57</f>
        <v>100</v>
      </c>
      <c r="N30" s="6">
        <f t="shared" si="4"/>
        <v>1200</v>
      </c>
    </row>
    <row r="31" spans="1:14" x14ac:dyDescent="0.2">
      <c r="A31" t="str">
        <f>DATA!A58</f>
        <v>Website</v>
      </c>
      <c r="B31" s="5">
        <f>DATA!N58</f>
        <v>50</v>
      </c>
      <c r="C31" s="5">
        <f>DATA!O58</f>
        <v>50</v>
      </c>
      <c r="D31" s="5">
        <f>DATA!P58</f>
        <v>50</v>
      </c>
      <c r="E31" s="5">
        <f>DATA!Q58</f>
        <v>50</v>
      </c>
      <c r="F31" s="5">
        <f>DATA!R58</f>
        <v>50</v>
      </c>
      <c r="G31" s="5">
        <f>DATA!S58</f>
        <v>50</v>
      </c>
      <c r="H31" s="5">
        <f>DATA!T58</f>
        <v>50</v>
      </c>
      <c r="I31" s="5">
        <f>DATA!U58</f>
        <v>50</v>
      </c>
      <c r="J31" s="5">
        <f>DATA!V58</f>
        <v>50</v>
      </c>
      <c r="K31" s="5">
        <f>DATA!W58</f>
        <v>50</v>
      </c>
      <c r="L31" s="5">
        <f>DATA!X58</f>
        <v>50</v>
      </c>
      <c r="M31" s="5">
        <f>DATA!Y58</f>
        <v>50</v>
      </c>
      <c r="N31" s="6">
        <f t="shared" si="4"/>
        <v>600</v>
      </c>
    </row>
    <row r="32" spans="1:14" x14ac:dyDescent="0.2">
      <c r="A32" t="str">
        <f>DATA!A59</f>
        <v>Other</v>
      </c>
      <c r="B32" s="5">
        <f>DATA!N59</f>
        <v>0</v>
      </c>
      <c r="C32" s="5">
        <f>DATA!O59</f>
        <v>0</v>
      </c>
      <c r="D32" s="5">
        <f>DATA!P59</f>
        <v>0</v>
      </c>
      <c r="E32" s="5">
        <f>DATA!Q59</f>
        <v>0</v>
      </c>
      <c r="F32" s="5">
        <f>DATA!R59</f>
        <v>0</v>
      </c>
      <c r="G32" s="5">
        <f>DATA!S59</f>
        <v>0</v>
      </c>
      <c r="H32" s="5">
        <f>DATA!T59</f>
        <v>0</v>
      </c>
      <c r="I32" s="5">
        <f>DATA!U59</f>
        <v>0</v>
      </c>
      <c r="J32" s="5">
        <f>DATA!V59</f>
        <v>0</v>
      </c>
      <c r="K32" s="5">
        <f>DATA!W59</f>
        <v>0</v>
      </c>
      <c r="L32" s="5">
        <f>DATA!X59</f>
        <v>0</v>
      </c>
      <c r="M32" s="5">
        <f>DATA!Y59</f>
        <v>0</v>
      </c>
      <c r="N32" s="6">
        <f t="shared" si="4"/>
        <v>0</v>
      </c>
    </row>
    <row r="33" spans="1:14" x14ac:dyDescent="0.2">
      <c r="A33" t="s">
        <v>86</v>
      </c>
      <c r="B33" s="5">
        <f>SalaryModule!N10</f>
        <v>0</v>
      </c>
      <c r="C33" s="5">
        <f>SalaryModule!O10</f>
        <v>0</v>
      </c>
      <c r="D33" s="5">
        <f>SalaryModule!P10</f>
        <v>0</v>
      </c>
      <c r="E33" s="5">
        <f>SalaryModule!Q10</f>
        <v>0</v>
      </c>
      <c r="F33" s="5">
        <f>SalaryModule!R10</f>
        <v>0</v>
      </c>
      <c r="G33" s="5">
        <f>SalaryModule!S10</f>
        <v>0</v>
      </c>
      <c r="H33" s="5">
        <f>SalaryModule!T10</f>
        <v>0</v>
      </c>
      <c r="I33" s="5">
        <f>SalaryModule!U10</f>
        <v>0</v>
      </c>
      <c r="J33" s="5">
        <f>SalaryModule!V10</f>
        <v>0</v>
      </c>
      <c r="K33" s="5">
        <f>SalaryModule!W10</f>
        <v>0</v>
      </c>
      <c r="L33" s="5">
        <f>SalaryModule!X10</f>
        <v>0</v>
      </c>
      <c r="M33" s="5">
        <f>SalaryModule!Y10</f>
        <v>0</v>
      </c>
      <c r="N33" s="6">
        <f t="shared" si="4"/>
        <v>0</v>
      </c>
    </row>
    <row r="34" spans="1:14" x14ac:dyDescent="0.2">
      <c r="A34" t="s">
        <v>87</v>
      </c>
      <c r="B34" s="5">
        <f>LoanModule!D21</f>
        <v>249.16796938246986</v>
      </c>
      <c r="C34" s="5">
        <f>LoanModule!D22</f>
        <v>244.74617089182888</v>
      </c>
      <c r="D34" s="5">
        <f>LoanModule!D23</f>
        <v>240.29489374458365</v>
      </c>
      <c r="E34" s="5">
        <f>LoanModule!D24</f>
        <v>235.81394141635676</v>
      </c>
      <c r="F34" s="5">
        <f>LoanModule!D25</f>
        <v>231.30311607260833</v>
      </c>
      <c r="G34" s="5">
        <f>LoanModule!D26</f>
        <v>226.76221855990161</v>
      </c>
      <c r="H34" s="5">
        <f>LoanModule!D27</f>
        <v>222.19104839711019</v>
      </c>
      <c r="I34" s="5">
        <f>LoanModule!D28</f>
        <v>217.58940376656679</v>
      </c>
      <c r="J34" s="5">
        <f>LoanModule!D29</f>
        <v>212.95708150515316</v>
      </c>
      <c r="K34" s="5">
        <f>LoanModule!D30</f>
        <v>208.29387709533003</v>
      </c>
      <c r="L34" s="5">
        <f>LoanModule!D31</f>
        <v>203.59958465610816</v>
      </c>
      <c r="M34" s="5">
        <f>LoanModule!D32</f>
        <v>198.8739969339581</v>
      </c>
      <c r="N34" s="6">
        <f t="shared" si="4"/>
        <v>2691.5933024219757</v>
      </c>
    </row>
    <row r="35" spans="1:14" x14ac:dyDescent="0.2">
      <c r="A35" t="s">
        <v>88</v>
      </c>
      <c r="B35" s="5">
        <f>DATA!B61*DATA!N66</f>
        <v>0</v>
      </c>
      <c r="C35" s="5">
        <f>DATA!B61*DATA!O66</f>
        <v>0</v>
      </c>
      <c r="D35" s="5">
        <f>DATA!B61*DATA!P66</f>
        <v>0</v>
      </c>
      <c r="E35" s="5">
        <f>DATA!B61*DATA!Q66</f>
        <v>0</v>
      </c>
      <c r="F35" s="5">
        <f>DATA!B61*DATA!R66</f>
        <v>0</v>
      </c>
      <c r="G35" s="5">
        <f>DATA!B61*DATA!S66</f>
        <v>0</v>
      </c>
      <c r="H35" s="5">
        <f>DATA!B61*DATA!T66</f>
        <v>0</v>
      </c>
      <c r="I35" s="5">
        <f>DATA!B61*DATA!U66</f>
        <v>0</v>
      </c>
      <c r="J35" s="5">
        <f>DATA!B61*DATA!V66</f>
        <v>0</v>
      </c>
      <c r="K35" s="5">
        <f>DATA!B61*DATA!W66</f>
        <v>0</v>
      </c>
      <c r="L35" s="5">
        <f>DATA!B61*DATA!X66</f>
        <v>0</v>
      </c>
      <c r="M35" s="5">
        <f>DATA!B61*DATA!Y66</f>
        <v>0</v>
      </c>
      <c r="N35" s="6">
        <f t="shared" si="4"/>
        <v>0</v>
      </c>
    </row>
    <row r="36" spans="1:14" x14ac:dyDescent="0.2">
      <c r="A36" t="s">
        <v>89</v>
      </c>
      <c r="B36" s="5">
        <f>DATA!N70</f>
        <v>208.33333333333331</v>
      </c>
      <c r="C36" s="5">
        <f>DATA!O70</f>
        <v>208.33333333333331</v>
      </c>
      <c r="D36" s="5">
        <f>DATA!P70</f>
        <v>208.33333333333331</v>
      </c>
      <c r="E36" s="5">
        <f>DATA!Q70</f>
        <v>208.33333333333331</v>
      </c>
      <c r="F36" s="5">
        <f>DATA!R70</f>
        <v>208.33333333333331</v>
      </c>
      <c r="G36" s="5">
        <f>DATA!S70</f>
        <v>208.33333333333331</v>
      </c>
      <c r="H36" s="5">
        <f>DATA!T70</f>
        <v>208.33333333333331</v>
      </c>
      <c r="I36" s="5">
        <f>DATA!U70</f>
        <v>208.33333333333331</v>
      </c>
      <c r="J36" s="5">
        <f>DATA!V70</f>
        <v>208.33333333333331</v>
      </c>
      <c r="K36" s="5">
        <f>DATA!W70</f>
        <v>208.33333333333331</v>
      </c>
      <c r="L36" s="5">
        <f>DATA!X70</f>
        <v>208.33333333333331</v>
      </c>
      <c r="M36" s="5">
        <f>DATA!Y70</f>
        <v>208.33333333333331</v>
      </c>
      <c r="N36" s="6">
        <f t="shared" si="4"/>
        <v>2500</v>
      </c>
    </row>
    <row r="37" spans="1:14" x14ac:dyDescent="0.2">
      <c r="A37" s="4" t="s">
        <v>90</v>
      </c>
      <c r="B37" s="7">
        <f t="shared" ref="B37:M37" si="5">SUM(B18:B36)</f>
        <v>2338.061556187703</v>
      </c>
      <c r="C37" s="7">
        <f t="shared" si="5"/>
        <v>2361.0732396214594</v>
      </c>
      <c r="D37" s="7">
        <f t="shared" si="5"/>
        <v>2385.1438184267727</v>
      </c>
      <c r="E37" s="7">
        <f t="shared" si="5"/>
        <v>2410.3218204493051</v>
      </c>
      <c r="F37" s="7">
        <f t="shared" si="5"/>
        <v>2436.6580939869991</v>
      </c>
      <c r="G37" s="7">
        <f t="shared" si="5"/>
        <v>2464.205921568896</v>
      </c>
      <c r="H37" s="7">
        <f t="shared" si="5"/>
        <v>2493.0211393770351</v>
      </c>
      <c r="I37" s="7">
        <f t="shared" si="5"/>
        <v>2523.1622625926611</v>
      </c>
      <c r="J37" s="7">
        <f t="shared" si="5"/>
        <v>2554.6906169619983</v>
      </c>
      <c r="K37" s="7">
        <f t="shared" si="5"/>
        <v>2587.6704768916215</v>
      </c>
      <c r="L37" s="7">
        <f t="shared" si="5"/>
        <v>2622.1692103989071</v>
      </c>
      <c r="M37" s="7">
        <f t="shared" si="5"/>
        <v>2658.2574312593192</v>
      </c>
      <c r="N37" s="7">
        <f t="shared" si="4"/>
        <v>29834.435587722677</v>
      </c>
    </row>
    <row r="39" spans="1:14" x14ac:dyDescent="0.2">
      <c r="A39" s="4" t="s">
        <v>91</v>
      </c>
      <c r="B39" s="9">
        <f t="shared" ref="B39:M39" si="6">B14-B37</f>
        <v>4004.2630132292134</v>
      </c>
      <c r="C39" s="9">
        <f t="shared" si="6"/>
        <v>4108.7320536407333</v>
      </c>
      <c r="D39" s="9">
        <f t="shared" si="6"/>
        <v>4214.7045612299944</v>
      </c>
      <c r="E39" s="9">
        <f t="shared" si="6"/>
        <v>4322.18351163856</v>
      </c>
      <c r="F39" s="9">
        <f t="shared" si="6"/>
        <v>4431.1705952758321</v>
      </c>
      <c r="G39" s="9">
        <f t="shared" si="6"/>
        <v>4541.6661243481185</v>
      </c>
      <c r="H39" s="9">
        <f t="shared" si="6"/>
        <v>4653.6689346629119</v>
      </c>
      <c r="I39" s="9">
        <f t="shared" si="6"/>
        <v>4767.1762819354917</v>
      </c>
      <c r="J39" s="9">
        <f t="shared" si="6"/>
        <v>4882.1837323111686</v>
      </c>
      <c r="K39" s="9">
        <f t="shared" si="6"/>
        <v>4998.6850468019356</v>
      </c>
      <c r="L39" s="9">
        <f t="shared" si="6"/>
        <v>5116.6720593208929</v>
      </c>
      <c r="M39" s="9">
        <f t="shared" si="6"/>
        <v>5236.1345479818501</v>
      </c>
      <c r="N39" s="9">
        <f>SUM(B39:M39)</f>
        <v>55277.2404623767</v>
      </c>
    </row>
    <row r="41" spans="1:14" x14ac:dyDescent="0.2">
      <c r="A41" t="s">
        <v>92</v>
      </c>
      <c r="B41" s="5">
        <f>N41/12</f>
        <v>0</v>
      </c>
      <c r="C41" s="5">
        <f>N41/12</f>
        <v>0</v>
      </c>
      <c r="D41" s="5">
        <f>N41/12</f>
        <v>0</v>
      </c>
      <c r="E41" s="5">
        <f>N41/12</f>
        <v>0</v>
      </c>
      <c r="F41" s="5">
        <f>N41/12</f>
        <v>0</v>
      </c>
      <c r="G41" s="5">
        <f>N41/12</f>
        <v>0</v>
      </c>
      <c r="H41" s="5">
        <f>N41/12</f>
        <v>0</v>
      </c>
      <c r="I41" s="5">
        <f>N41/12</f>
        <v>0</v>
      </c>
      <c r="J41" s="5">
        <f>N41/12</f>
        <v>0</v>
      </c>
      <c r="K41" s="5">
        <f>N41/12</f>
        <v>0</v>
      </c>
      <c r="L41" s="5">
        <f>N41/12</f>
        <v>0</v>
      </c>
      <c r="M41" s="5">
        <f>N41/12</f>
        <v>0</v>
      </c>
      <c r="N41" s="6">
        <f>IF(N39&lt;=0,0,N39*DATA!B62)</f>
        <v>0</v>
      </c>
    </row>
    <row r="43" spans="1:14" x14ac:dyDescent="0.2">
      <c r="A43" s="4" t="s">
        <v>93</v>
      </c>
      <c r="B43" s="8">
        <f t="shared" ref="B43:M43" si="7">B39-B41</f>
        <v>4004.2630132292134</v>
      </c>
      <c r="C43" s="8">
        <f t="shared" si="7"/>
        <v>4108.7320536407333</v>
      </c>
      <c r="D43" s="8">
        <f t="shared" si="7"/>
        <v>4214.7045612299944</v>
      </c>
      <c r="E43" s="8">
        <f t="shared" si="7"/>
        <v>4322.18351163856</v>
      </c>
      <c r="F43" s="8">
        <f t="shared" si="7"/>
        <v>4431.1705952758321</v>
      </c>
      <c r="G43" s="8">
        <f t="shared" si="7"/>
        <v>4541.6661243481185</v>
      </c>
      <c r="H43" s="8">
        <f t="shared" si="7"/>
        <v>4653.6689346629119</v>
      </c>
      <c r="I43" s="8">
        <f t="shared" si="7"/>
        <v>4767.1762819354917</v>
      </c>
      <c r="J43" s="8">
        <f t="shared" si="7"/>
        <v>4882.1837323111686</v>
      </c>
      <c r="K43" s="8">
        <f t="shared" si="7"/>
        <v>4998.6850468019356</v>
      </c>
      <c r="L43" s="8">
        <f t="shared" si="7"/>
        <v>5116.6720593208929</v>
      </c>
      <c r="M43" s="8">
        <f t="shared" si="7"/>
        <v>5236.1345479818501</v>
      </c>
      <c r="N43" s="8">
        <f>SUM(B43:M43)</f>
        <v>55277.2404623767</v>
      </c>
    </row>
    <row r="48" spans="1:14" x14ac:dyDescent="0.2">
      <c r="A48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8"/>
  <sheetViews>
    <sheetView workbookViewId="0">
      <selection activeCell="N43" sqref="N43"/>
    </sheetView>
  </sheetViews>
  <sheetFormatPr baseColWidth="10" defaultColWidth="8.83203125" defaultRowHeight="15" x14ac:dyDescent="0.2"/>
  <cols>
    <col min="1" max="1" width="31.6640625" bestFit="1" customWidth="1"/>
    <col min="2" max="12" width="9.33203125" bestFit="1" customWidth="1"/>
    <col min="13" max="13" width="10.5" bestFit="1" customWidth="1"/>
    <col min="14" max="14" width="9.33203125" bestFit="1" customWidth="1"/>
  </cols>
  <sheetData>
    <row r="1" spans="1:14" x14ac:dyDescent="0.2">
      <c r="A1" t="str">
        <f>DATA!B1</f>
        <v>Example Food Truck</v>
      </c>
    </row>
    <row r="2" spans="1:14" x14ac:dyDescent="0.2">
      <c r="A2" t="s">
        <v>77</v>
      </c>
    </row>
    <row r="3" spans="1:14" x14ac:dyDescent="0.2">
      <c r="A3" t="s">
        <v>96</v>
      </c>
    </row>
    <row r="5" spans="1:14" x14ac:dyDescent="0.2">
      <c r="A5" t="s">
        <v>17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96</v>
      </c>
    </row>
    <row r="6" spans="1:14" x14ac:dyDescent="0.2">
      <c r="A6" s="4" t="s">
        <v>79</v>
      </c>
    </row>
    <row r="7" spans="1:14" x14ac:dyDescent="0.2">
      <c r="A7" t="str">
        <f>SUBSTITUTE(DATA!A26,"Days to Get Paid","",1)</f>
        <v>Food Truck Sales</v>
      </c>
      <c r="B7" s="5">
        <f>DATA!Z31*DATA!Z29</f>
        <v>21765.052048713285</v>
      </c>
      <c r="C7" s="5">
        <f>DATA!AA31*DATA!AA29</f>
        <v>22202.529594892421</v>
      </c>
      <c r="D7" s="5">
        <f>DATA!AB31*DATA!AB29</f>
        <v>22648.800439749753</v>
      </c>
      <c r="E7" s="5">
        <f>DATA!AC31*DATA!AC29</f>
        <v>23104.041328588723</v>
      </c>
      <c r="F7" s="5">
        <f>DATA!AD31*DATA!AD29</f>
        <v>23568.43255929336</v>
      </c>
      <c r="G7" s="5">
        <f>DATA!AE31*DATA!AE29</f>
        <v>24042.158053735158</v>
      </c>
      <c r="H7" s="5">
        <f>DATA!AF31*DATA!AF29</f>
        <v>24525.405430615236</v>
      </c>
      <c r="I7" s="5">
        <f>DATA!AG31*DATA!AG29</f>
        <v>25018.366079770603</v>
      </c>
      <c r="J7" s="5">
        <f>DATA!AH31*DATA!AH29</f>
        <v>25521.235237973997</v>
      </c>
      <c r="K7" s="5">
        <f>DATA!AI31*DATA!AI29</f>
        <v>26034.212066257274</v>
      </c>
      <c r="L7" s="5">
        <f>DATA!AJ31*DATA!AJ29</f>
        <v>26557.499728789047</v>
      </c>
      <c r="M7" s="5">
        <f>DATA!AK31*DATA!AK29</f>
        <v>27091.30547333771</v>
      </c>
      <c r="N7" s="6">
        <f>SUM(B7:M7)</f>
        <v>292079.03804171662</v>
      </c>
    </row>
    <row r="8" spans="1:14" x14ac:dyDescent="0.2">
      <c r="A8" s="4" t="s">
        <v>80</v>
      </c>
      <c r="B8" s="8">
        <f t="shared" ref="B8:M8" si="0">SUM(B7:B7)</f>
        <v>21765.052048713285</v>
      </c>
      <c r="C8" s="8">
        <f t="shared" si="0"/>
        <v>22202.529594892421</v>
      </c>
      <c r="D8" s="8">
        <f t="shared" si="0"/>
        <v>22648.800439749753</v>
      </c>
      <c r="E8" s="8">
        <f t="shared" si="0"/>
        <v>23104.041328588723</v>
      </c>
      <c r="F8" s="8">
        <f t="shared" si="0"/>
        <v>23568.43255929336</v>
      </c>
      <c r="G8" s="8">
        <f t="shared" si="0"/>
        <v>24042.158053735158</v>
      </c>
      <c r="H8" s="8">
        <f t="shared" si="0"/>
        <v>24525.405430615236</v>
      </c>
      <c r="I8" s="8">
        <f t="shared" si="0"/>
        <v>25018.366079770603</v>
      </c>
      <c r="J8" s="8">
        <f t="shared" si="0"/>
        <v>25521.235237973997</v>
      </c>
      <c r="K8" s="8">
        <f t="shared" si="0"/>
        <v>26034.212066257274</v>
      </c>
      <c r="L8" s="8">
        <f t="shared" si="0"/>
        <v>26557.499728789047</v>
      </c>
      <c r="M8" s="8">
        <f t="shared" si="0"/>
        <v>27091.30547333771</v>
      </c>
      <c r="N8" s="8">
        <f>SUM(B8:M8)</f>
        <v>292079.03804171662</v>
      </c>
    </row>
    <row r="10" spans="1:14" x14ac:dyDescent="0.2">
      <c r="A10" t="s">
        <v>81</v>
      </c>
      <c r="B10" s="5">
        <f>DATA!Z67</f>
        <v>6529.5156146139843</v>
      </c>
      <c r="C10" s="5">
        <f>DATA!AA67</f>
        <v>6660.7588784677264</v>
      </c>
      <c r="D10" s="5">
        <f>DATA!AB67</f>
        <v>6794.6401319249253</v>
      </c>
      <c r="E10" s="5">
        <f>DATA!AC67</f>
        <v>6931.2123985766166</v>
      </c>
      <c r="F10" s="5">
        <f>DATA!AD67</f>
        <v>7070.529767788008</v>
      </c>
      <c r="G10" s="5">
        <f>DATA!AE67</f>
        <v>7212.6474161205469</v>
      </c>
      <c r="H10" s="5">
        <f>DATA!AF67</f>
        <v>7357.6216291845703</v>
      </c>
      <c r="I10" s="5">
        <f>DATA!AG67</f>
        <v>7505.5098239311819</v>
      </c>
      <c r="J10" s="5">
        <f>DATA!AH67</f>
        <v>7656.3705713921991</v>
      </c>
      <c r="K10" s="5">
        <f>DATA!AI67</f>
        <v>7810.2636198771825</v>
      </c>
      <c r="L10" s="5">
        <f>DATA!AJ67</f>
        <v>7967.249918636714</v>
      </c>
      <c r="M10" s="5">
        <f>DATA!AK67</f>
        <v>8127.3916420013129</v>
      </c>
      <c r="N10" s="6">
        <f>SUM(B10:M10)</f>
        <v>87623.711412514967</v>
      </c>
    </row>
    <row r="11" spans="1:14" x14ac:dyDescent="0.2">
      <c r="A11" t="s">
        <v>82</v>
      </c>
      <c r="B11" s="5">
        <f>DATA!Z68</f>
        <v>7182.4671760753836</v>
      </c>
      <c r="C11" s="5">
        <f>DATA!AA68</f>
        <v>7326.8347663144996</v>
      </c>
      <c r="D11" s="5">
        <f>DATA!AB68</f>
        <v>7474.1041451174196</v>
      </c>
      <c r="E11" s="5">
        <f>DATA!AC68</f>
        <v>7624.3336384342792</v>
      </c>
      <c r="F11" s="5">
        <f>DATA!AD68</f>
        <v>7777.5827445668101</v>
      </c>
      <c r="G11" s="5">
        <f>DATA!AE68</f>
        <v>7933.9121577326041</v>
      </c>
      <c r="H11" s="5">
        <f>DATA!AF68</f>
        <v>8093.3837921030281</v>
      </c>
      <c r="I11" s="5">
        <f>DATA!AG68</f>
        <v>8256.0608063242998</v>
      </c>
      <c r="J11" s="5">
        <f>DATA!AH68</f>
        <v>8422.007628531419</v>
      </c>
      <c r="K11" s="5">
        <f>DATA!AI68</f>
        <v>8591.2899818649003</v>
      </c>
      <c r="L11" s="5">
        <f>DATA!AJ68</f>
        <v>8763.9749105003866</v>
      </c>
      <c r="M11" s="5">
        <f>DATA!AK68</f>
        <v>8940.130806201445</v>
      </c>
      <c r="N11" s="6">
        <f>SUM(B11:M11)</f>
        <v>96386.082553766479</v>
      </c>
    </row>
    <row r="12" spans="1:14" x14ac:dyDescent="0.2">
      <c r="A12" s="4" t="s">
        <v>83</v>
      </c>
      <c r="B12" s="8">
        <f t="shared" ref="B12:M12" si="1">SUM(B10:B11)</f>
        <v>13711.982790689368</v>
      </c>
      <c r="C12" s="8">
        <f t="shared" si="1"/>
        <v>13987.593644782226</v>
      </c>
      <c r="D12" s="8">
        <f t="shared" si="1"/>
        <v>14268.744277042344</v>
      </c>
      <c r="E12" s="8">
        <f t="shared" si="1"/>
        <v>14555.546037010896</v>
      </c>
      <c r="F12" s="8">
        <f t="shared" si="1"/>
        <v>14848.112512354819</v>
      </c>
      <c r="G12" s="8">
        <f t="shared" si="1"/>
        <v>15146.559573853152</v>
      </c>
      <c r="H12" s="8">
        <f t="shared" si="1"/>
        <v>15451.005421287598</v>
      </c>
      <c r="I12" s="8">
        <f t="shared" si="1"/>
        <v>15761.570630255483</v>
      </c>
      <c r="J12" s="8">
        <f t="shared" si="1"/>
        <v>16078.378199923618</v>
      </c>
      <c r="K12" s="8">
        <f t="shared" si="1"/>
        <v>16401.553601742082</v>
      </c>
      <c r="L12" s="8">
        <f t="shared" si="1"/>
        <v>16731.2248291371</v>
      </c>
      <c r="M12" s="8">
        <f t="shared" si="1"/>
        <v>17067.522448202759</v>
      </c>
      <c r="N12" s="8">
        <f>SUM(B12:M12)</f>
        <v>184009.79396628146</v>
      </c>
    </row>
    <row r="14" spans="1:14" x14ac:dyDescent="0.2">
      <c r="A14" s="4" t="s">
        <v>84</v>
      </c>
      <c r="B14" s="9">
        <f t="shared" ref="B14:M14" si="2">B8-B12</f>
        <v>8053.0692580239174</v>
      </c>
      <c r="C14" s="9">
        <f t="shared" si="2"/>
        <v>8214.9359501101953</v>
      </c>
      <c r="D14" s="9">
        <f t="shared" si="2"/>
        <v>8380.0561627074094</v>
      </c>
      <c r="E14" s="9">
        <f t="shared" si="2"/>
        <v>8548.4952915778267</v>
      </c>
      <c r="F14" s="9">
        <f t="shared" si="2"/>
        <v>8720.3200469385411</v>
      </c>
      <c r="G14" s="9">
        <f t="shared" si="2"/>
        <v>8895.5984798820064</v>
      </c>
      <c r="H14" s="9">
        <f t="shared" si="2"/>
        <v>9074.4000093276372</v>
      </c>
      <c r="I14" s="9">
        <f t="shared" si="2"/>
        <v>9256.7954495151207</v>
      </c>
      <c r="J14" s="9">
        <f t="shared" si="2"/>
        <v>9442.8570380503788</v>
      </c>
      <c r="K14" s="9">
        <f t="shared" si="2"/>
        <v>9632.6584645151925</v>
      </c>
      <c r="L14" s="9">
        <f t="shared" si="2"/>
        <v>9826.2748996519476</v>
      </c>
      <c r="M14" s="9">
        <f t="shared" si="2"/>
        <v>10023.783025134951</v>
      </c>
      <c r="N14" s="9">
        <f>SUM(B14:M14)</f>
        <v>108069.24407543513</v>
      </c>
    </row>
    <row r="15" spans="1:14" x14ac:dyDescent="0.2">
      <c r="A15" t="s">
        <v>85</v>
      </c>
      <c r="B15" s="2">
        <f t="shared" ref="B15:N15" si="3">IF(B8=0,0,B14/B8)</f>
        <v>0.37000000000000011</v>
      </c>
      <c r="C15" s="2">
        <f t="shared" si="3"/>
        <v>0.37</v>
      </c>
      <c r="D15" s="2">
        <f t="shared" si="3"/>
        <v>0.37000000000000005</v>
      </c>
      <c r="E15" s="2">
        <f t="shared" si="3"/>
        <v>0.37</v>
      </c>
      <c r="F15" s="2">
        <f t="shared" si="3"/>
        <v>0.36999999999999988</v>
      </c>
      <c r="G15" s="2">
        <f t="shared" si="3"/>
        <v>0.36999999999999988</v>
      </c>
      <c r="H15" s="2">
        <f t="shared" si="3"/>
        <v>0.37</v>
      </c>
      <c r="I15" s="2">
        <f t="shared" si="3"/>
        <v>0.36999999999999988</v>
      </c>
      <c r="J15" s="2">
        <f t="shared" si="3"/>
        <v>0.37</v>
      </c>
      <c r="K15" s="2">
        <f t="shared" si="3"/>
        <v>0.37000000000000005</v>
      </c>
      <c r="L15" s="2">
        <f t="shared" si="3"/>
        <v>0.37</v>
      </c>
      <c r="M15" s="2">
        <f t="shared" si="3"/>
        <v>0.36999999999999994</v>
      </c>
      <c r="N15" s="10">
        <f t="shared" si="3"/>
        <v>0.36999999999999994</v>
      </c>
    </row>
    <row r="17" spans="1:14" x14ac:dyDescent="0.2">
      <c r="A17" s="4" t="s">
        <v>19</v>
      </c>
    </row>
    <row r="18" spans="1:14" x14ac:dyDescent="0.2">
      <c r="A18" t="str">
        <f>DATA!A44</f>
        <v>Accounting</v>
      </c>
      <c r="B18" s="5">
        <f>DATA!Z44</f>
        <v>100</v>
      </c>
      <c r="C18" s="5">
        <f>DATA!AA44</f>
        <v>100</v>
      </c>
      <c r="D18" s="5">
        <f>DATA!AB44</f>
        <v>100</v>
      </c>
      <c r="E18" s="5">
        <f>DATA!AC44</f>
        <v>100</v>
      </c>
      <c r="F18" s="5">
        <f>DATA!AD44</f>
        <v>100</v>
      </c>
      <c r="G18" s="5">
        <f>DATA!AE44</f>
        <v>100</v>
      </c>
      <c r="H18" s="5">
        <f>DATA!AF44</f>
        <v>100</v>
      </c>
      <c r="I18" s="5">
        <f>DATA!AG44</f>
        <v>100</v>
      </c>
      <c r="J18" s="5">
        <f>DATA!AH44</f>
        <v>100</v>
      </c>
      <c r="K18" s="5">
        <f>DATA!AI44</f>
        <v>100</v>
      </c>
      <c r="L18" s="5">
        <f>DATA!AJ44</f>
        <v>100</v>
      </c>
      <c r="M18" s="5">
        <f>DATA!AK44</f>
        <v>100</v>
      </c>
      <c r="N18" s="6">
        <f t="shared" ref="N18:N37" si="4">SUM(B18:M18)</f>
        <v>1200</v>
      </c>
    </row>
    <row r="19" spans="1:14" x14ac:dyDescent="0.2">
      <c r="A19" t="str">
        <f>DATA!A45</f>
        <v>Advertising</v>
      </c>
      <c r="B19" s="5">
        <f>DATA!Z45</f>
        <v>645.01998874274068</v>
      </c>
      <c r="C19" s="5">
        <f>DATA!AA45</f>
        <v>677.27098817987769</v>
      </c>
      <c r="D19" s="5">
        <f>DATA!AB45</f>
        <v>711.13453758887158</v>
      </c>
      <c r="E19" s="5">
        <f>DATA!AC45</f>
        <v>746.69126446831524</v>
      </c>
      <c r="F19" s="5">
        <f>DATA!AD45</f>
        <v>784.02582769173102</v>
      </c>
      <c r="G19" s="5">
        <f>DATA!AE45</f>
        <v>823.22711907631765</v>
      </c>
      <c r="H19" s="5">
        <f>DATA!AF45</f>
        <v>864.38847503013358</v>
      </c>
      <c r="I19" s="5">
        <f>DATA!AG45</f>
        <v>907.6078987816403</v>
      </c>
      <c r="J19" s="5">
        <f>DATA!AH45</f>
        <v>952.98829372072237</v>
      </c>
      <c r="K19" s="5">
        <f>DATA!AI45</f>
        <v>1000.6377084067585</v>
      </c>
      <c r="L19" s="5">
        <f>DATA!AJ45</f>
        <v>1050.6695938270964</v>
      </c>
      <c r="M19" s="5">
        <f>DATA!AK45</f>
        <v>1103.2030735184512</v>
      </c>
      <c r="N19" s="6">
        <f t="shared" si="4"/>
        <v>10266.864769032656</v>
      </c>
    </row>
    <row r="20" spans="1:14" x14ac:dyDescent="0.2">
      <c r="A20" t="str">
        <f>DATA!A47</f>
        <v>Vehicle/Liability Insurance</v>
      </c>
      <c r="B20" s="5">
        <f>DATA!Z47</f>
        <v>0</v>
      </c>
      <c r="C20" s="5">
        <f>DATA!AA47</f>
        <v>0</v>
      </c>
      <c r="D20" s="5">
        <f>DATA!AB47</f>
        <v>0</v>
      </c>
      <c r="E20" s="5">
        <f>DATA!AC47</f>
        <v>0</v>
      </c>
      <c r="F20" s="5">
        <f>DATA!AD47</f>
        <v>0</v>
      </c>
      <c r="G20" s="5">
        <f>DATA!AE47</f>
        <v>0</v>
      </c>
      <c r="H20" s="5">
        <f>DATA!AF47</f>
        <v>0</v>
      </c>
      <c r="I20" s="5">
        <f>DATA!AG47</f>
        <v>0</v>
      </c>
      <c r="J20" s="5">
        <f>DATA!AH47</f>
        <v>0</v>
      </c>
      <c r="K20" s="5">
        <f>DATA!AI47</f>
        <v>0</v>
      </c>
      <c r="L20" s="5">
        <f>DATA!AJ47</f>
        <v>0</v>
      </c>
      <c r="M20" s="5">
        <f>DATA!AK47</f>
        <v>0</v>
      </c>
      <c r="N20" s="6">
        <f t="shared" si="4"/>
        <v>0</v>
      </c>
    </row>
    <row r="21" spans="1:14" x14ac:dyDescent="0.2">
      <c r="A21" t="str">
        <f>DATA!A48</f>
        <v>Legal Professional</v>
      </c>
      <c r="B21" s="5">
        <f>DATA!Z48</f>
        <v>0</v>
      </c>
      <c r="C21" s="5">
        <f>DATA!AA48</f>
        <v>0</v>
      </c>
      <c r="D21" s="5">
        <f>DATA!AB48</f>
        <v>0</v>
      </c>
      <c r="E21" s="5">
        <f>DATA!AC48</f>
        <v>0</v>
      </c>
      <c r="F21" s="5">
        <f>DATA!AD48</f>
        <v>0</v>
      </c>
      <c r="G21" s="5">
        <f>DATA!AE48</f>
        <v>0</v>
      </c>
      <c r="H21" s="5">
        <f>DATA!AF48</f>
        <v>0</v>
      </c>
      <c r="I21" s="5">
        <f>DATA!AG48</f>
        <v>0</v>
      </c>
      <c r="J21" s="5">
        <f>DATA!AH48</f>
        <v>0</v>
      </c>
      <c r="K21" s="5">
        <f>DATA!AI48</f>
        <v>0</v>
      </c>
      <c r="L21" s="5">
        <f>DATA!AJ48</f>
        <v>0</v>
      </c>
      <c r="M21" s="5">
        <f>DATA!AK48</f>
        <v>0</v>
      </c>
      <c r="N21" s="6">
        <f t="shared" si="4"/>
        <v>0</v>
      </c>
    </row>
    <row r="22" spans="1:14" x14ac:dyDescent="0.2">
      <c r="A22" t="str">
        <f>DATA!A49</f>
        <v>Licenses</v>
      </c>
      <c r="B22" s="5">
        <f>DATA!Z49</f>
        <v>0</v>
      </c>
      <c r="C22" s="5">
        <f>DATA!AA49</f>
        <v>0</v>
      </c>
      <c r="D22" s="5">
        <f>DATA!AB49</f>
        <v>0</v>
      </c>
      <c r="E22" s="5">
        <f>DATA!AC49</f>
        <v>0</v>
      </c>
      <c r="F22" s="5">
        <f>DATA!AD49</f>
        <v>0</v>
      </c>
      <c r="G22" s="5">
        <f>DATA!AE49</f>
        <v>0</v>
      </c>
      <c r="H22" s="5">
        <f>DATA!AF49</f>
        <v>0</v>
      </c>
      <c r="I22" s="5">
        <f>DATA!AG49</f>
        <v>0</v>
      </c>
      <c r="J22" s="5">
        <f>DATA!AH49</f>
        <v>0</v>
      </c>
      <c r="K22" s="5">
        <f>DATA!AI49</f>
        <v>0</v>
      </c>
      <c r="L22" s="5">
        <f>DATA!AJ49</f>
        <v>0</v>
      </c>
      <c r="M22" s="5">
        <f>DATA!AK49</f>
        <v>0</v>
      </c>
      <c r="N22" s="6">
        <f t="shared" si="4"/>
        <v>0</v>
      </c>
    </row>
    <row r="23" spans="1:14" x14ac:dyDescent="0.2">
      <c r="A23" t="str">
        <f>DATA!A50</f>
        <v>Fuel and Vehicle Repairs</v>
      </c>
      <c r="B23" s="5">
        <f>DATA!Z50</f>
        <v>300</v>
      </c>
      <c r="C23" s="5">
        <f>DATA!AA50</f>
        <v>300</v>
      </c>
      <c r="D23" s="5">
        <f>DATA!AB50</f>
        <v>300</v>
      </c>
      <c r="E23" s="5">
        <f>DATA!AC50</f>
        <v>300</v>
      </c>
      <c r="F23" s="5">
        <f>DATA!AD50</f>
        <v>300</v>
      </c>
      <c r="G23" s="5">
        <f>DATA!AE50</f>
        <v>300</v>
      </c>
      <c r="H23" s="5">
        <f>DATA!AF50</f>
        <v>300</v>
      </c>
      <c r="I23" s="5">
        <f>DATA!AG50</f>
        <v>300</v>
      </c>
      <c r="J23" s="5">
        <f>DATA!AH50</f>
        <v>300</v>
      </c>
      <c r="K23" s="5">
        <f>DATA!AI50</f>
        <v>300</v>
      </c>
      <c r="L23" s="5">
        <f>DATA!AJ50</f>
        <v>300</v>
      </c>
      <c r="M23" s="5">
        <f>DATA!AK50</f>
        <v>300</v>
      </c>
      <c r="N23" s="6">
        <f t="shared" si="4"/>
        <v>3600</v>
      </c>
    </row>
    <row r="24" spans="1:14" x14ac:dyDescent="0.2">
      <c r="A24" t="str">
        <f>DATA!A51</f>
        <v>Credit Card Processing Fees</v>
      </c>
      <c r="B24" s="5">
        <f>DATA!Z51</f>
        <v>598.53893133961537</v>
      </c>
      <c r="C24" s="5">
        <f>DATA!AA51</f>
        <v>610.56956385954163</v>
      </c>
      <c r="D24" s="5">
        <f>DATA!AB51</f>
        <v>622.84201209311823</v>
      </c>
      <c r="E24" s="5">
        <f>DATA!AC51</f>
        <v>635.36113653618986</v>
      </c>
      <c r="F24" s="5">
        <f>DATA!AD51</f>
        <v>648.13189538056736</v>
      </c>
      <c r="G24" s="5">
        <f>DATA!AE51</f>
        <v>661.15934647771689</v>
      </c>
      <c r="H24" s="5">
        <f>DATA!AF51</f>
        <v>674.44864934191901</v>
      </c>
      <c r="I24" s="5">
        <f>DATA!AG51</f>
        <v>688.00506719369162</v>
      </c>
      <c r="J24" s="5">
        <f>DATA!AH51</f>
        <v>701.83396904428491</v>
      </c>
      <c r="K24" s="5">
        <f>DATA!AI51</f>
        <v>715.9408318220751</v>
      </c>
      <c r="L24" s="5">
        <f>DATA!AJ51</f>
        <v>730.33124254169877</v>
      </c>
      <c r="M24" s="5">
        <f>DATA!AK51</f>
        <v>745.01090051678705</v>
      </c>
      <c r="N24" s="6">
        <f t="shared" si="4"/>
        <v>8032.1735461472063</v>
      </c>
    </row>
    <row r="25" spans="1:14" x14ac:dyDescent="0.2">
      <c r="A25" t="str">
        <f>DATA!A52</f>
        <v>Office Supplies</v>
      </c>
      <c r="B25" s="5">
        <f>DATA!Z52</f>
        <v>100</v>
      </c>
      <c r="C25" s="5">
        <f>DATA!AA52</f>
        <v>100</v>
      </c>
      <c r="D25" s="5">
        <f>DATA!AB52</f>
        <v>100</v>
      </c>
      <c r="E25" s="5">
        <f>DATA!AC52</f>
        <v>100</v>
      </c>
      <c r="F25" s="5">
        <f>DATA!AD52</f>
        <v>100</v>
      </c>
      <c r="G25" s="5">
        <f>DATA!AE52</f>
        <v>100</v>
      </c>
      <c r="H25" s="5">
        <f>DATA!AF52</f>
        <v>100</v>
      </c>
      <c r="I25" s="5">
        <f>DATA!AG52</f>
        <v>100</v>
      </c>
      <c r="J25" s="5">
        <f>DATA!AH52</f>
        <v>100</v>
      </c>
      <c r="K25" s="5">
        <f>DATA!AI52</f>
        <v>100</v>
      </c>
      <c r="L25" s="5">
        <f>DATA!AJ52</f>
        <v>100</v>
      </c>
      <c r="M25" s="5">
        <f>DATA!AK52</f>
        <v>100</v>
      </c>
      <c r="N25" s="6">
        <f t="shared" si="4"/>
        <v>1200</v>
      </c>
    </row>
    <row r="26" spans="1:14" x14ac:dyDescent="0.2">
      <c r="A26" t="str">
        <f>DATA!A53</f>
        <v>Parking Fees</v>
      </c>
      <c r="B26" s="5">
        <f>DATA!Z53</f>
        <v>100</v>
      </c>
      <c r="C26" s="5">
        <f>DATA!AA53</f>
        <v>100</v>
      </c>
      <c r="D26" s="5">
        <f>DATA!AB53</f>
        <v>100</v>
      </c>
      <c r="E26" s="5">
        <f>DATA!AC53</f>
        <v>100</v>
      </c>
      <c r="F26" s="5">
        <f>DATA!AD53</f>
        <v>100</v>
      </c>
      <c r="G26" s="5">
        <f>DATA!AE53</f>
        <v>100</v>
      </c>
      <c r="H26" s="5">
        <f>DATA!AF53</f>
        <v>100</v>
      </c>
      <c r="I26" s="5">
        <f>DATA!AG53</f>
        <v>100</v>
      </c>
      <c r="J26" s="5">
        <f>DATA!AH53</f>
        <v>100</v>
      </c>
      <c r="K26" s="5">
        <f>DATA!AI53</f>
        <v>100</v>
      </c>
      <c r="L26" s="5">
        <f>DATA!AJ53</f>
        <v>100</v>
      </c>
      <c r="M26" s="5">
        <f>DATA!AK53</f>
        <v>100</v>
      </c>
      <c r="N26" s="6">
        <f t="shared" si="4"/>
        <v>1200</v>
      </c>
    </row>
    <row r="27" spans="1:14" x14ac:dyDescent="0.2">
      <c r="A27" t="str">
        <f>DATA!A54</f>
        <v>Permits</v>
      </c>
      <c r="B27" s="5">
        <f>DATA!Z54</f>
        <v>100</v>
      </c>
      <c r="C27" s="5">
        <f>DATA!AA54</f>
        <v>100</v>
      </c>
      <c r="D27" s="5">
        <f>DATA!AB54</f>
        <v>100</v>
      </c>
      <c r="E27" s="5">
        <f>DATA!AC54</f>
        <v>100</v>
      </c>
      <c r="F27" s="5">
        <f>DATA!AD54</f>
        <v>100</v>
      </c>
      <c r="G27" s="5">
        <f>DATA!AE54</f>
        <v>100</v>
      </c>
      <c r="H27" s="5">
        <f>DATA!AF54</f>
        <v>100</v>
      </c>
      <c r="I27" s="5">
        <f>DATA!AG54</f>
        <v>100</v>
      </c>
      <c r="J27" s="5">
        <f>DATA!AH54</f>
        <v>100</v>
      </c>
      <c r="K27" s="5">
        <f>DATA!AI54</f>
        <v>100</v>
      </c>
      <c r="L27" s="5">
        <f>DATA!AJ54</f>
        <v>100</v>
      </c>
      <c r="M27" s="5">
        <f>DATA!AK54</f>
        <v>100</v>
      </c>
      <c r="N27" s="6">
        <f t="shared" si="4"/>
        <v>1200</v>
      </c>
    </row>
    <row r="28" spans="1:14" x14ac:dyDescent="0.2">
      <c r="A28" t="str">
        <f>DATA!A55</f>
        <v>Telephone</v>
      </c>
      <c r="B28" s="5">
        <f>DATA!Z55</f>
        <v>100</v>
      </c>
      <c r="C28" s="5">
        <f>DATA!AA55</f>
        <v>100</v>
      </c>
      <c r="D28" s="5">
        <f>DATA!AB55</f>
        <v>100</v>
      </c>
      <c r="E28" s="5">
        <f>DATA!AC55</f>
        <v>100</v>
      </c>
      <c r="F28" s="5">
        <f>DATA!AD55</f>
        <v>100</v>
      </c>
      <c r="G28" s="5">
        <f>DATA!AE55</f>
        <v>100</v>
      </c>
      <c r="H28" s="5">
        <f>DATA!AF55</f>
        <v>100</v>
      </c>
      <c r="I28" s="5">
        <f>DATA!AG55</f>
        <v>100</v>
      </c>
      <c r="J28" s="5">
        <f>DATA!AH55</f>
        <v>100</v>
      </c>
      <c r="K28" s="5">
        <f>DATA!AI55</f>
        <v>100</v>
      </c>
      <c r="L28" s="5">
        <f>DATA!AJ55</f>
        <v>100</v>
      </c>
      <c r="M28" s="5">
        <f>DATA!AK55</f>
        <v>100</v>
      </c>
      <c r="N28" s="6">
        <f t="shared" si="4"/>
        <v>1200</v>
      </c>
    </row>
    <row r="29" spans="1:14" x14ac:dyDescent="0.2">
      <c r="A29" t="str">
        <f>DATA!A56</f>
        <v>Travel</v>
      </c>
      <c r="B29" s="5">
        <f>DATA!Z56</f>
        <v>100</v>
      </c>
      <c r="C29" s="5">
        <f>DATA!AA56</f>
        <v>100</v>
      </c>
      <c r="D29" s="5">
        <f>DATA!AB56</f>
        <v>100</v>
      </c>
      <c r="E29" s="5">
        <f>DATA!AC56</f>
        <v>100</v>
      </c>
      <c r="F29" s="5">
        <f>DATA!AD56</f>
        <v>100</v>
      </c>
      <c r="G29" s="5">
        <f>DATA!AE56</f>
        <v>100</v>
      </c>
      <c r="H29" s="5">
        <f>DATA!AF56</f>
        <v>100</v>
      </c>
      <c r="I29" s="5">
        <f>DATA!AG56</f>
        <v>100</v>
      </c>
      <c r="J29" s="5">
        <f>DATA!AH56</f>
        <v>100</v>
      </c>
      <c r="K29" s="5">
        <f>DATA!AI56</f>
        <v>100</v>
      </c>
      <c r="L29" s="5">
        <f>DATA!AJ56</f>
        <v>100</v>
      </c>
      <c r="M29" s="5">
        <f>DATA!AK56</f>
        <v>100</v>
      </c>
      <c r="N29" s="6">
        <f t="shared" si="4"/>
        <v>1200</v>
      </c>
    </row>
    <row r="30" spans="1:14" x14ac:dyDescent="0.2">
      <c r="A30" t="str">
        <f>DATA!A57</f>
        <v>Uniforms</v>
      </c>
      <c r="B30" s="5">
        <f>DATA!Z57</f>
        <v>100</v>
      </c>
      <c r="C30" s="5">
        <f>DATA!AA57</f>
        <v>100</v>
      </c>
      <c r="D30" s="5">
        <f>DATA!AB57</f>
        <v>100</v>
      </c>
      <c r="E30" s="5">
        <f>DATA!AC57</f>
        <v>100</v>
      </c>
      <c r="F30" s="5">
        <f>DATA!AD57</f>
        <v>100</v>
      </c>
      <c r="G30" s="5">
        <f>DATA!AE57</f>
        <v>100</v>
      </c>
      <c r="H30" s="5">
        <f>DATA!AF57</f>
        <v>100</v>
      </c>
      <c r="I30" s="5">
        <f>DATA!AG57</f>
        <v>100</v>
      </c>
      <c r="J30" s="5">
        <f>DATA!AH57</f>
        <v>100</v>
      </c>
      <c r="K30" s="5">
        <f>DATA!AI57</f>
        <v>100</v>
      </c>
      <c r="L30" s="5">
        <f>DATA!AJ57</f>
        <v>100</v>
      </c>
      <c r="M30" s="5">
        <f>DATA!AK57</f>
        <v>100</v>
      </c>
      <c r="N30" s="6">
        <f t="shared" si="4"/>
        <v>1200</v>
      </c>
    </row>
    <row r="31" spans="1:14" x14ac:dyDescent="0.2">
      <c r="A31" t="str">
        <f>DATA!A58</f>
        <v>Website</v>
      </c>
      <c r="B31" s="5">
        <f>DATA!Z58</f>
        <v>50</v>
      </c>
      <c r="C31" s="5">
        <f>DATA!AA58</f>
        <v>50</v>
      </c>
      <c r="D31" s="5">
        <f>DATA!AB58</f>
        <v>50</v>
      </c>
      <c r="E31" s="5">
        <f>DATA!AC58</f>
        <v>50</v>
      </c>
      <c r="F31" s="5">
        <f>DATA!AD58</f>
        <v>50</v>
      </c>
      <c r="G31" s="5">
        <f>DATA!AE58</f>
        <v>50</v>
      </c>
      <c r="H31" s="5">
        <f>DATA!AF58</f>
        <v>50</v>
      </c>
      <c r="I31" s="5">
        <f>DATA!AG58</f>
        <v>50</v>
      </c>
      <c r="J31" s="5">
        <f>DATA!AH58</f>
        <v>50</v>
      </c>
      <c r="K31" s="5">
        <f>DATA!AI58</f>
        <v>50</v>
      </c>
      <c r="L31" s="5">
        <f>DATA!AJ58</f>
        <v>50</v>
      </c>
      <c r="M31" s="5">
        <f>DATA!AK58</f>
        <v>50</v>
      </c>
      <c r="N31" s="6">
        <f t="shared" si="4"/>
        <v>600</v>
      </c>
    </row>
    <row r="32" spans="1:14" x14ac:dyDescent="0.2">
      <c r="A32" t="str">
        <f>DATA!A59</f>
        <v>Other</v>
      </c>
      <c r="B32" s="5">
        <f>DATA!Z59</f>
        <v>0</v>
      </c>
      <c r="C32" s="5">
        <f>DATA!AA59</f>
        <v>0</v>
      </c>
      <c r="D32" s="5">
        <f>DATA!AB59</f>
        <v>0</v>
      </c>
      <c r="E32" s="5">
        <f>DATA!AC59</f>
        <v>0</v>
      </c>
      <c r="F32" s="5">
        <f>DATA!AD59</f>
        <v>0</v>
      </c>
      <c r="G32" s="5">
        <f>DATA!AE59</f>
        <v>0</v>
      </c>
      <c r="H32" s="5">
        <f>DATA!AF59</f>
        <v>0</v>
      </c>
      <c r="I32" s="5">
        <f>DATA!AG59</f>
        <v>0</v>
      </c>
      <c r="J32" s="5">
        <f>DATA!AH59</f>
        <v>0</v>
      </c>
      <c r="K32" s="5">
        <f>DATA!AI59</f>
        <v>0</v>
      </c>
      <c r="L32" s="5">
        <f>DATA!AJ59</f>
        <v>0</v>
      </c>
      <c r="M32" s="5">
        <f>DATA!AK59</f>
        <v>0</v>
      </c>
      <c r="N32" s="6">
        <f t="shared" si="4"/>
        <v>0</v>
      </c>
    </row>
    <row r="33" spans="1:14" x14ac:dyDescent="0.2">
      <c r="A33" t="s">
        <v>86</v>
      </c>
      <c r="B33" s="5">
        <f>SalaryModule!Z10</f>
        <v>0</v>
      </c>
      <c r="C33" s="5">
        <f>SalaryModule!AA10</f>
        <v>0</v>
      </c>
      <c r="D33" s="5">
        <f>SalaryModule!AB10</f>
        <v>0</v>
      </c>
      <c r="E33" s="5">
        <f>SalaryModule!AC10</f>
        <v>0</v>
      </c>
      <c r="F33" s="5">
        <f>SalaryModule!AD10</f>
        <v>0</v>
      </c>
      <c r="G33" s="5">
        <f>SalaryModule!AE10</f>
        <v>0</v>
      </c>
      <c r="H33" s="5">
        <f>SalaryModule!AF10</f>
        <v>0</v>
      </c>
      <c r="I33" s="5">
        <f>SalaryModule!AG10</f>
        <v>0</v>
      </c>
      <c r="J33" s="5">
        <f>SalaryModule!AH10</f>
        <v>0</v>
      </c>
      <c r="K33" s="5">
        <f>SalaryModule!AI10</f>
        <v>0</v>
      </c>
      <c r="L33" s="5">
        <f>SalaryModule!AJ10</f>
        <v>0</v>
      </c>
      <c r="M33" s="5">
        <f>SalaryModule!AK10</f>
        <v>0</v>
      </c>
      <c r="N33" s="6">
        <f t="shared" si="4"/>
        <v>0</v>
      </c>
    </row>
    <row r="34" spans="1:14" x14ac:dyDescent="0.2">
      <c r="A34" t="s">
        <v>87</v>
      </c>
      <c r="B34" s="5">
        <f>LoanModule!D33</f>
        <v>194.11690529366038</v>
      </c>
      <c r="C34" s="5">
        <f>LoanModule!D34</f>
        <v>189.328099709094</v>
      </c>
      <c r="D34" s="5">
        <f>LoanModule!D35</f>
        <v>184.50736875396387</v>
      </c>
      <c r="E34" s="5">
        <f>LoanModule!D36</f>
        <v>179.65449959246621</v>
      </c>
      <c r="F34" s="5">
        <f>LoanModule!D37</f>
        <v>174.76927796989187</v>
      </c>
      <c r="G34" s="5">
        <f>LoanModule!D38</f>
        <v>169.85148820316707</v>
      </c>
      <c r="H34" s="5">
        <f>LoanModule!D39</f>
        <v>164.90091317133073</v>
      </c>
      <c r="I34" s="5">
        <f>LoanModule!D40</f>
        <v>159.91733430594883</v>
      </c>
      <c r="J34" s="5">
        <f>LoanModule!D41</f>
        <v>154.90053158146438</v>
      </c>
      <c r="K34" s="5">
        <f>LoanModule!D42</f>
        <v>149.85028350548339</v>
      </c>
      <c r="L34" s="5">
        <f>LoanModule!D43</f>
        <v>144.76636710899584</v>
      </c>
      <c r="M34" s="5">
        <f>LoanModule!D44</f>
        <v>139.64855793653172</v>
      </c>
      <c r="N34" s="6">
        <f t="shared" si="4"/>
        <v>2006.2116271319983</v>
      </c>
    </row>
    <row r="35" spans="1:14" x14ac:dyDescent="0.2">
      <c r="A35" t="s">
        <v>88</v>
      </c>
      <c r="B35" s="5">
        <f>DATA!B61*DATA!Z66</f>
        <v>0</v>
      </c>
      <c r="C35" s="5">
        <f>DATA!B61*DATA!AA66</f>
        <v>0</v>
      </c>
      <c r="D35" s="5">
        <f>DATA!B61*DATA!AB66</f>
        <v>0</v>
      </c>
      <c r="E35" s="5">
        <f>DATA!B61*DATA!AC66</f>
        <v>0</v>
      </c>
      <c r="F35" s="5">
        <f>DATA!B61*DATA!AD66</f>
        <v>0</v>
      </c>
      <c r="G35" s="5">
        <f>DATA!B61*DATA!AE66</f>
        <v>0</v>
      </c>
      <c r="H35" s="5">
        <f>DATA!B61*DATA!AF66</f>
        <v>0</v>
      </c>
      <c r="I35" s="5">
        <f>DATA!B61*DATA!AG66</f>
        <v>0</v>
      </c>
      <c r="J35" s="5">
        <f>DATA!B61*DATA!AH66</f>
        <v>0</v>
      </c>
      <c r="K35" s="5">
        <f>DATA!B61*DATA!AI66</f>
        <v>0</v>
      </c>
      <c r="L35" s="5">
        <f>DATA!B61*DATA!AJ66</f>
        <v>0</v>
      </c>
      <c r="M35" s="5">
        <f>DATA!B61*DATA!AK66</f>
        <v>0</v>
      </c>
      <c r="N35" s="6">
        <f t="shared" si="4"/>
        <v>0</v>
      </c>
    </row>
    <row r="36" spans="1:14" x14ac:dyDescent="0.2">
      <c r="A36" t="s">
        <v>89</v>
      </c>
      <c r="B36" s="5">
        <f>DATA!Z70</f>
        <v>208.33333333333331</v>
      </c>
      <c r="C36" s="5">
        <f>DATA!AA70</f>
        <v>208.33333333333331</v>
      </c>
      <c r="D36" s="5">
        <f>DATA!AB70</f>
        <v>208.33333333333331</v>
      </c>
      <c r="E36" s="5">
        <f>DATA!AC70</f>
        <v>208.33333333333331</v>
      </c>
      <c r="F36" s="5">
        <f>DATA!AD70</f>
        <v>208.33333333333331</v>
      </c>
      <c r="G36" s="5">
        <f>DATA!AE70</f>
        <v>208.33333333333331</v>
      </c>
      <c r="H36" s="5">
        <f>DATA!AF70</f>
        <v>208.33333333333331</v>
      </c>
      <c r="I36" s="5">
        <f>DATA!AG70</f>
        <v>208.33333333333331</v>
      </c>
      <c r="J36" s="5">
        <f>DATA!AH70</f>
        <v>208.33333333333331</v>
      </c>
      <c r="K36" s="5">
        <f>DATA!AI70</f>
        <v>208.33333333333331</v>
      </c>
      <c r="L36" s="5">
        <f>DATA!AJ70</f>
        <v>208.33333333333331</v>
      </c>
      <c r="M36" s="5">
        <f>DATA!AK70</f>
        <v>208.33333333333331</v>
      </c>
      <c r="N36" s="6">
        <f t="shared" si="4"/>
        <v>2500</v>
      </c>
    </row>
    <row r="37" spans="1:14" x14ac:dyDescent="0.2">
      <c r="A37" s="4" t="s">
        <v>90</v>
      </c>
      <c r="B37" s="7">
        <f t="shared" ref="B37:M37" si="5">SUM(B18:B36)</f>
        <v>2696.0091587093498</v>
      </c>
      <c r="C37" s="7">
        <f t="shared" si="5"/>
        <v>2735.5019850818471</v>
      </c>
      <c r="D37" s="7">
        <f t="shared" si="5"/>
        <v>2776.8172517692874</v>
      </c>
      <c r="E37" s="7">
        <f t="shared" si="5"/>
        <v>2820.040233930305</v>
      </c>
      <c r="F37" s="7">
        <f t="shared" si="5"/>
        <v>2865.2603343755241</v>
      </c>
      <c r="G37" s="7">
        <f t="shared" si="5"/>
        <v>2912.5712870905354</v>
      </c>
      <c r="H37" s="7">
        <f t="shared" si="5"/>
        <v>2962.0713708767166</v>
      </c>
      <c r="I37" s="7">
        <f t="shared" si="5"/>
        <v>3013.8636336146142</v>
      </c>
      <c r="J37" s="7">
        <f t="shared" si="5"/>
        <v>3068.0561276798053</v>
      </c>
      <c r="K37" s="7">
        <f t="shared" si="5"/>
        <v>3124.7621570676506</v>
      </c>
      <c r="L37" s="7">
        <f t="shared" si="5"/>
        <v>3184.1005368111246</v>
      </c>
      <c r="M37" s="7">
        <f t="shared" si="5"/>
        <v>3246.1958653051033</v>
      </c>
      <c r="N37" s="7">
        <f t="shared" si="4"/>
        <v>35405.249942311864</v>
      </c>
    </row>
    <row r="39" spans="1:14" x14ac:dyDescent="0.2">
      <c r="A39" s="4" t="s">
        <v>91</v>
      </c>
      <c r="B39" s="9">
        <f t="shared" ref="B39:M39" si="6">B14-B37</f>
        <v>5357.0600993145672</v>
      </c>
      <c r="C39" s="9">
        <f t="shared" si="6"/>
        <v>5479.4339650283482</v>
      </c>
      <c r="D39" s="9">
        <f t="shared" si="6"/>
        <v>5603.238910938122</v>
      </c>
      <c r="E39" s="9">
        <f t="shared" si="6"/>
        <v>5728.4550576475212</v>
      </c>
      <c r="F39" s="9">
        <f t="shared" si="6"/>
        <v>5855.0597125630175</v>
      </c>
      <c r="G39" s="9">
        <f t="shared" si="6"/>
        <v>5983.027192791471</v>
      </c>
      <c r="H39" s="9">
        <f t="shared" si="6"/>
        <v>6112.3286384509211</v>
      </c>
      <c r="I39" s="9">
        <f t="shared" si="6"/>
        <v>6242.931815900507</v>
      </c>
      <c r="J39" s="9">
        <f t="shared" si="6"/>
        <v>6374.8009103705735</v>
      </c>
      <c r="K39" s="9">
        <f t="shared" si="6"/>
        <v>6507.8963074475414</v>
      </c>
      <c r="L39" s="9">
        <f t="shared" si="6"/>
        <v>6642.1743628408231</v>
      </c>
      <c r="M39" s="9">
        <f t="shared" si="6"/>
        <v>6777.5871598298481</v>
      </c>
      <c r="N39" s="9">
        <f>SUM(B39:M39)</f>
        <v>72663.994133123255</v>
      </c>
    </row>
    <row r="41" spans="1:14" x14ac:dyDescent="0.2">
      <c r="A41" t="s">
        <v>92</v>
      </c>
      <c r="B41" s="5">
        <f>N41/12</f>
        <v>0</v>
      </c>
      <c r="C41" s="5">
        <f>N41/12</f>
        <v>0</v>
      </c>
      <c r="D41" s="5">
        <f>N41/12</f>
        <v>0</v>
      </c>
      <c r="E41" s="5">
        <f>N41/12</f>
        <v>0</v>
      </c>
      <c r="F41" s="5">
        <f>N41/12</f>
        <v>0</v>
      </c>
      <c r="G41" s="5">
        <f>N41/12</f>
        <v>0</v>
      </c>
      <c r="H41" s="5">
        <f>N41/12</f>
        <v>0</v>
      </c>
      <c r="I41" s="5">
        <f>N41/12</f>
        <v>0</v>
      </c>
      <c r="J41" s="5">
        <f>N41/12</f>
        <v>0</v>
      </c>
      <c r="K41" s="5">
        <f>N41/12</f>
        <v>0</v>
      </c>
      <c r="L41" s="5">
        <f>N41/12</f>
        <v>0</v>
      </c>
      <c r="M41" s="5">
        <f>N41/12</f>
        <v>0</v>
      </c>
      <c r="N41" s="6">
        <f>IF(N39&lt;=0,0,N39*DATA!B62)</f>
        <v>0</v>
      </c>
    </row>
    <row r="43" spans="1:14" x14ac:dyDescent="0.2">
      <c r="A43" s="4" t="s">
        <v>93</v>
      </c>
      <c r="B43" s="8">
        <f t="shared" ref="B43:M43" si="7">B39-B41</f>
        <v>5357.0600993145672</v>
      </c>
      <c r="C43" s="8">
        <f t="shared" si="7"/>
        <v>5479.4339650283482</v>
      </c>
      <c r="D43" s="8">
        <f t="shared" si="7"/>
        <v>5603.238910938122</v>
      </c>
      <c r="E43" s="8">
        <f t="shared" si="7"/>
        <v>5728.4550576475212</v>
      </c>
      <c r="F43" s="8">
        <f t="shared" si="7"/>
        <v>5855.0597125630175</v>
      </c>
      <c r="G43" s="8">
        <f t="shared" si="7"/>
        <v>5983.027192791471</v>
      </c>
      <c r="H43" s="8">
        <f t="shared" si="7"/>
        <v>6112.3286384509211</v>
      </c>
      <c r="I43" s="8">
        <f t="shared" si="7"/>
        <v>6242.931815900507</v>
      </c>
      <c r="J43" s="8">
        <f t="shared" si="7"/>
        <v>6374.8009103705735</v>
      </c>
      <c r="K43" s="8">
        <f t="shared" si="7"/>
        <v>6507.8963074475414</v>
      </c>
      <c r="L43" s="8">
        <f t="shared" si="7"/>
        <v>6642.1743628408231</v>
      </c>
      <c r="M43" s="8">
        <f t="shared" si="7"/>
        <v>6777.5871598298481</v>
      </c>
      <c r="N43" s="8">
        <f>SUM(B43:M43)</f>
        <v>72663.994133123255</v>
      </c>
    </row>
    <row r="48" spans="1:14" x14ac:dyDescent="0.2">
      <c r="A48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ProjectionHub</vt:lpstr>
      <vt:lpstr>DATA</vt:lpstr>
      <vt:lpstr>RevenueModule</vt:lpstr>
      <vt:lpstr>LoanModule</vt:lpstr>
      <vt:lpstr>SalaryModule</vt:lpstr>
      <vt:lpstr>StartupCosts</vt:lpstr>
      <vt:lpstr>IncomeStatement_Year1</vt:lpstr>
      <vt:lpstr>IncomeStatement_Year2</vt:lpstr>
      <vt:lpstr>IncomeStatement_Year3</vt:lpstr>
      <vt:lpstr>CashFlowStatement_Year1</vt:lpstr>
      <vt:lpstr>CashFlowStatement_Year2</vt:lpstr>
      <vt:lpstr>CashFlowStatement_Year3</vt:lpstr>
      <vt:lpstr>BalanceSheet_Year1</vt:lpstr>
      <vt:lpstr>BalanceSheet_Year2</vt:lpstr>
      <vt:lpstr>BalanceSheet_Year3</vt:lpstr>
      <vt:lpstr>AnnualSummary</vt:lpstr>
      <vt:lpstr>Dashboard Example</vt:lpstr>
      <vt:lpstr>Graphs for Dashboard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ProjectionHub</dc:creator>
  <cp:keywords>office 2007 openxml php</cp:keywords>
  <dc:description>Test document for Office 2007 XLSX, generated using PHP classes.</dc:description>
  <cp:lastModifiedBy>Kat Nesbit</cp:lastModifiedBy>
  <dcterms:created xsi:type="dcterms:W3CDTF">2014-06-27T20:10:25Z</dcterms:created>
  <dcterms:modified xsi:type="dcterms:W3CDTF">2023-03-01T20:22:08Z</dcterms:modified>
  <cp:category>Financial Projections</cp:category>
</cp:coreProperties>
</file>